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comments1.xml" ContentType="application/vnd.openxmlformats-officedocument.spreadsheetml.comment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defaultThemeVersion="166925"/>
  <mc:AlternateContent xmlns:mc="http://schemas.openxmlformats.org/markup-compatibility/2006">
    <mc:Choice Requires="x15">
      <x15ac:absPath xmlns:x15ac="http://schemas.microsoft.com/office/spreadsheetml/2010/11/ac" url="C:\Users\ACER\Dropbox\Ukraine Solidarity\Data\"/>
    </mc:Choice>
  </mc:AlternateContent>
  <xr:revisionPtr revIDLastSave="0" documentId="13_ncr:1_{01071094-A1F3-480A-B045-78AC9806A208}" xr6:coauthVersionLast="47" xr6:coauthVersionMax="47" xr10:uidLastSave="{00000000-0000-0000-0000-000000000000}"/>
  <bookViews>
    <workbookView xWindow="-120" yWindow="-120" windowWidth="20730" windowHeight="11160" firstSheet="2" activeTab="18" xr2:uid="{00000000-000D-0000-FFFF-FFFF00000000}"/>
  </bookViews>
  <sheets>
    <sheet name="Readme" sheetId="23" r:id="rId1"/>
    <sheet name="Updates and Corrections" sheetId="40" r:id="rId2"/>
    <sheet name="MAIN DATASET" sheetId="1" r:id="rId3"/>
    <sheet name="Non-Bilateral Aid" sheetId="5" r:id="rId4"/>
    <sheet name="Commercial Aid" sheetId="58" r:id="rId5"/>
    <sheet name="AGGREGATES by country" sheetId="15" r:id="rId6"/>
    <sheet name="AGGREGATES by group" sheetId="48" r:id="rId7"/>
    <sheet name="Currency Conversion" sheetId="3" r:id="rId8"/>
    <sheet name="Prices" sheetId="24" r:id="rId9"/>
    <sheet name="Figure 1 Western Countries" sheetId="35" r:id="rId10"/>
    <sheet name="Figure 2 Type of Aid" sheetId="10" r:id="rId11"/>
    <sheet name="Figure 3 Ranking as % of GDP" sheetId="8" r:id="rId12"/>
    <sheet name="Figure 4 Ranking as % with EU" sheetId="32" r:id="rId13"/>
    <sheet name="Figure 5 Military Aid by type" sheetId="36" r:id="rId14"/>
    <sheet name="Figure 6 Financial Aid" sheetId="53" r:id="rId15"/>
    <sheet name="Figure 7 Mil. in-kind, country" sheetId="55" r:id="rId16"/>
    <sheet name="Figure 8 Foreign Budg. Support" sheetId="56" r:id="rId17"/>
    <sheet name="Figure 9 Refugee Cost Estimate" sheetId="37" r:id="rId18"/>
    <sheet name="Figure 10 Aid Type+Refugees (€)" sheetId="39" r:id="rId19"/>
    <sheet name="Figure 11 Bil. Aid+Refugee (%)" sheetId="38" r:id="rId20"/>
    <sheet name="Figure A1 Ranking in € with EU" sheetId="12" r:id="rId21"/>
    <sheet name="Figure A2 Stand up for Ukraine" sheetId="25" r:id="rId22"/>
    <sheet name="EU aid shares" sheetId="41" r:id="rId23"/>
    <sheet name="EPF aid shares" sheetId="44" r:id="rId24"/>
    <sheet name="EIB aid shares" sheetId="43" r:id="rId25"/>
    <sheet name="Financial aid by type" sheetId="52" r:id="rId26"/>
    <sheet name="Refugee cost calculations" sheetId="42" r:id="rId27"/>
    <sheet name="Military aid by type" sheetId="57" r:id="rId28"/>
    <sheet name="Aid over time" sheetId="59" r:id="rId29"/>
    <sheet name="Aid over time, Top 5 donors" sheetId="60" r:id="rId30"/>
  </sheets>
  <definedNames>
    <definedName name="_xlnm._FilterDatabase" localSheetId="4" hidden="1">'Commercial Aid'!$L$1:$L$1</definedName>
    <definedName name="_xlnm._FilterDatabase" localSheetId="10" hidden="1">'Figure 2 Type of Aid'!$B$7:$F$45</definedName>
    <definedName name="_xlnm._FilterDatabase" localSheetId="11" hidden="1">'Figure 3 Ranking as % of GDP'!$B$7:$C$7</definedName>
    <definedName name="_xlnm._FilterDatabase" localSheetId="13" hidden="1">'Figure 5 Military Aid by type'!$B$7:$D$7</definedName>
    <definedName name="_xlnm._FilterDatabase" localSheetId="15" hidden="1">'Figure 7 Mil. in-kind, country'!$B$7:$E$7</definedName>
    <definedName name="_xlnm._FilterDatabase" localSheetId="16" hidden="1">'Figure 8 Foreign Budg. Support'!$B$7:$G$24</definedName>
    <definedName name="_xlnm._FilterDatabase" localSheetId="2" hidden="1">'MAIN DATASET'!$L$1:$L$876</definedName>
    <definedName name="_xlnm._FilterDatabase" localSheetId="8" hidden="1">Prices!$A$1:$G$1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70" i="1" l="1"/>
  <c r="Q557" i="1"/>
  <c r="S737" i="1"/>
  <c r="Q526" i="1"/>
  <c r="S245" i="1"/>
  <c r="R245" i="1"/>
  <c r="R244" i="1"/>
  <c r="S296" i="1"/>
  <c r="R775" i="1"/>
  <c r="Q775" i="1"/>
  <c r="R759" i="1"/>
  <c r="S712" i="1"/>
  <c r="R712" i="1"/>
  <c r="Q459" i="1"/>
  <c r="R456" i="1"/>
  <c r="Q700" i="1"/>
  <c r="R454" i="1"/>
  <c r="Q651" i="1"/>
  <c r="R455" i="1"/>
  <c r="R635" i="1"/>
  <c r="R634" i="1"/>
  <c r="Q634" i="1"/>
  <c r="Q554" i="1"/>
  <c r="S409" i="1"/>
  <c r="S401" i="1"/>
  <c r="Q513" i="1"/>
  <c r="R473" i="1"/>
  <c r="Q473" i="1"/>
  <c r="Q456" i="1"/>
  <c r="Q454" i="1"/>
  <c r="R437" i="1"/>
  <c r="Q437" i="1"/>
  <c r="R396" i="1"/>
  <c r="Q396" i="1"/>
  <c r="R375" i="1"/>
  <c r="R374" i="1"/>
  <c r="Q375" i="1"/>
  <c r="Q374" i="1"/>
  <c r="R371" i="1"/>
  <c r="N369" i="1"/>
  <c r="N370" i="1"/>
  <c r="R296" i="1"/>
  <c r="Q296" i="1"/>
  <c r="R345" i="1"/>
  <c r="R342" i="1"/>
  <c r="Q345" i="1"/>
  <c r="N634" i="1"/>
  <c r="N629" i="1"/>
  <c r="N630" i="1"/>
  <c r="N631" i="1"/>
  <c r="N632" i="1"/>
  <c r="N633" i="1"/>
  <c r="N624" i="1"/>
  <c r="N625" i="1"/>
  <c r="N626" i="1"/>
  <c r="N627" i="1"/>
  <c r="N628" i="1"/>
  <c r="N554" i="1"/>
  <c r="N555" i="1"/>
  <c r="N483" i="1"/>
  <c r="N484" i="1"/>
  <c r="N485" i="1"/>
  <c r="N486" i="1"/>
  <c r="N487" i="1"/>
  <c r="N488" i="1"/>
  <c r="N489" i="1"/>
  <c r="N490" i="1"/>
  <c r="N491" i="1"/>
  <c r="N492" i="1"/>
  <c r="N493" i="1"/>
  <c r="N482" i="1"/>
  <c r="N473" i="1"/>
  <c r="N434" i="1"/>
  <c r="N435" i="1"/>
  <c r="N436" i="1"/>
  <c r="N437" i="1"/>
  <c r="N356" i="1"/>
  <c r="N345" i="1"/>
  <c r="N346"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45" i="1"/>
  <c r="N240" i="1"/>
  <c r="N241" i="1"/>
  <c r="N242" i="1"/>
  <c r="R334" i="1"/>
  <c r="N243" i="1"/>
  <c r="N244" i="1"/>
  <c r="O263" i="1"/>
  <c r="O265" i="1"/>
  <c r="O268" i="1"/>
  <c r="O272" i="1"/>
  <c r="O246" i="1"/>
  <c r="O247" i="1"/>
  <c r="O249" i="1"/>
  <c r="O253" i="1"/>
  <c r="O254" i="1"/>
  <c r="O255" i="1"/>
  <c r="O257" i="1"/>
  <c r="O258" i="1"/>
  <c r="O260" i="1"/>
  <c r="O261" i="1"/>
  <c r="O262" i="1"/>
  <c r="O245" i="1"/>
  <c r="R239" i="1"/>
  <c r="R236" i="1"/>
  <c r="Q239" i="1"/>
  <c r="S150" i="1"/>
  <c r="S651" i="1"/>
  <c r="R651" i="1"/>
  <c r="Q138" i="1"/>
  <c r="Q137" i="1"/>
  <c r="Q136" i="1"/>
  <c r="P690" i="1"/>
  <c r="Q76" i="1"/>
  <c r="Q71" i="1"/>
  <c r="Q62" i="1"/>
  <c r="Q61" i="1"/>
  <c r="P669" i="1"/>
  <c r="P712" i="1"/>
  <c r="P720" i="1"/>
  <c r="P738" i="1"/>
  <c r="N239" i="1"/>
  <c r="O239" i="1" s="1"/>
  <c r="J239" i="1"/>
  <c r="J240" i="1"/>
  <c r="E38" i="57"/>
  <c r="R700" i="1"/>
  <c r="E39" i="57"/>
  <c r="E31" i="56"/>
  <c r="R61" i="1"/>
  <c r="S61" i="1" s="1"/>
  <c r="R62" i="1"/>
  <c r="S62" i="1" s="1"/>
  <c r="Q81" i="1"/>
  <c r="R81" i="1" s="1"/>
  <c r="S81" i="1" s="1"/>
  <c r="N8" i="58"/>
  <c r="O8" i="58" s="1"/>
  <c r="Q8" i="58" s="1"/>
  <c r="R8" i="58" s="1"/>
  <c r="J8" i="58"/>
  <c r="K8" i="58"/>
  <c r="R6" i="58"/>
  <c r="N6" i="58"/>
  <c r="N7" i="58"/>
  <c r="O7" i="58" s="1"/>
  <c r="Q7" i="58" s="1"/>
  <c r="R7" i="58" s="1"/>
  <c r="J7" i="58"/>
  <c r="K7" i="58"/>
  <c r="Q6" i="58"/>
  <c r="J6" i="58"/>
  <c r="K6" i="58"/>
  <c r="N756" i="1"/>
  <c r="O756" i="1" s="1"/>
  <c r="N757" i="1"/>
  <c r="O757" i="1" s="1"/>
  <c r="N758" i="1"/>
  <c r="O758" i="1" s="1"/>
  <c r="K756" i="1"/>
  <c r="K757" i="1"/>
  <c r="K758" i="1"/>
  <c r="J756" i="1"/>
  <c r="J757" i="1"/>
  <c r="J758" i="1"/>
  <c r="J736" i="1"/>
  <c r="K736" i="1"/>
  <c r="P260" i="1"/>
  <c r="P628" i="1"/>
  <c r="P630" i="1"/>
  <c r="P484" i="1"/>
  <c r="P489" i="1"/>
  <c r="P490" i="1"/>
  <c r="P491" i="1"/>
  <c r="P245" i="1"/>
  <c r="P246" i="1"/>
  <c r="P247" i="1"/>
  <c r="P249" i="1"/>
  <c r="P253" i="1"/>
  <c r="P254" i="1"/>
  <c r="P255" i="1"/>
  <c r="P257" i="1"/>
  <c r="P258" i="1"/>
  <c r="P261" i="1"/>
  <c r="P262" i="1"/>
  <c r="P263" i="1"/>
  <c r="P265" i="1"/>
  <c r="P268" i="1"/>
  <c r="P272" i="1"/>
  <c r="P274" i="1"/>
  <c r="P276" i="1"/>
  <c r="P279" i="1"/>
  <c r="P280" i="1"/>
  <c r="P281" i="1"/>
  <c r="P286" i="1"/>
  <c r="P288" i="1"/>
  <c r="P290" i="1"/>
  <c r="P297" i="1"/>
  <c r="P310" i="1"/>
  <c r="N381" i="1"/>
  <c r="N382" i="1"/>
  <c r="N377" i="1"/>
  <c r="N378" i="1"/>
  <c r="N379" i="1"/>
  <c r="J381" i="1"/>
  <c r="J382" i="1"/>
  <c r="O491" i="1"/>
  <c r="J379" i="1"/>
  <c r="O437" i="1"/>
  <c r="J378" i="1"/>
  <c r="J377" i="1"/>
  <c r="J75" i="1"/>
  <c r="N68" i="1"/>
  <c r="N69" i="1"/>
  <c r="N70" i="1"/>
  <c r="O484" i="1"/>
  <c r="O489" i="1"/>
  <c r="O490" i="1"/>
  <c r="O473" i="1"/>
  <c r="J68" i="1"/>
  <c r="J69" i="1"/>
  <c r="J70" i="1"/>
  <c r="O356" i="1"/>
  <c r="O345" i="1"/>
  <c r="O288" i="1"/>
  <c r="O290" i="1"/>
  <c r="O291" i="1"/>
  <c r="O292" i="1"/>
  <c r="O293" i="1"/>
  <c r="O296" i="1"/>
  <c r="O297" i="1"/>
  <c r="O298" i="1"/>
  <c r="O299" i="1"/>
  <c r="O300" i="1"/>
  <c r="O301" i="1"/>
  <c r="O302" i="1"/>
  <c r="O303" i="1"/>
  <c r="O305" i="1"/>
  <c r="O306" i="1"/>
  <c r="O307" i="1"/>
  <c r="O309" i="1"/>
  <c r="O310" i="1"/>
  <c r="O313" i="1"/>
  <c r="O274" i="1"/>
  <c r="O276" i="1"/>
  <c r="O279" i="1"/>
  <c r="O280" i="1"/>
  <c r="O281" i="1"/>
  <c r="O286" i="1"/>
  <c r="J765" i="1"/>
  <c r="J766" i="1"/>
  <c r="J767" i="1"/>
  <c r="J768" i="1"/>
  <c r="J769" i="1"/>
  <c r="J770" i="1"/>
  <c r="J771" i="1"/>
  <c r="J772" i="1"/>
  <c r="J773" i="1"/>
  <c r="J774" i="1"/>
  <c r="J775" i="1"/>
  <c r="J776" i="1"/>
  <c r="J777" i="1"/>
  <c r="J778" i="1"/>
  <c r="J779" i="1"/>
  <c r="J780" i="1"/>
  <c r="J781" i="1"/>
  <c r="J782" i="1"/>
  <c r="J783" i="1"/>
  <c r="J7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7" i="1"/>
  <c r="J738" i="1"/>
  <c r="J739" i="1"/>
  <c r="J740" i="1"/>
  <c r="J741" i="1"/>
  <c r="J742" i="1"/>
  <c r="J743" i="1"/>
  <c r="J744" i="1"/>
  <c r="J745" i="1"/>
  <c r="J746" i="1"/>
  <c r="J747" i="1"/>
  <c r="J748" i="1"/>
  <c r="J749" i="1"/>
  <c r="J750" i="1"/>
  <c r="J751" i="1"/>
  <c r="J752" i="1"/>
  <c r="J753" i="1"/>
  <c r="J754" i="1"/>
  <c r="J755" i="1"/>
  <c r="J759" i="1"/>
  <c r="J760" i="1"/>
  <c r="J761" i="1"/>
  <c r="J762" i="1"/>
  <c r="J763" i="1"/>
  <c r="J764"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53" i="1"/>
  <c r="J554" i="1"/>
  <c r="J555" i="1"/>
  <c r="J556" i="1"/>
  <c r="J557" i="1"/>
  <c r="J558" i="1"/>
  <c r="J559" i="1"/>
  <c r="J560" i="1"/>
  <c r="J561" i="1"/>
  <c r="J562" i="1"/>
  <c r="J563" i="1"/>
  <c r="J564" i="1"/>
  <c r="J565" i="1"/>
  <c r="J566" i="1"/>
  <c r="J567" i="1"/>
  <c r="J568" i="1"/>
  <c r="J569" i="1"/>
  <c r="J570" i="1"/>
  <c r="J571"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474" i="1"/>
  <c r="J475" i="1"/>
  <c r="J476" i="1"/>
  <c r="J477" i="1"/>
  <c r="J478" i="1"/>
  <c r="J479" i="1"/>
  <c r="J480" i="1"/>
  <c r="J481" i="1"/>
  <c r="J482" i="1"/>
  <c r="J483" i="1"/>
  <c r="J484" i="1"/>
  <c r="J485" i="1"/>
  <c r="J486" i="1"/>
  <c r="J487" i="1"/>
  <c r="J488" i="1"/>
  <c r="J489" i="1"/>
  <c r="J490" i="1"/>
  <c r="J491" i="1"/>
  <c r="J492" i="1"/>
  <c r="J493"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16" i="1"/>
  <c r="J417" i="1"/>
  <c r="J418" i="1"/>
  <c r="J419" i="1"/>
  <c r="J420" i="1"/>
  <c r="J421" i="1"/>
  <c r="J422" i="1"/>
  <c r="J423" i="1"/>
  <c r="J424" i="1"/>
  <c r="J425" i="1"/>
  <c r="J426" i="1"/>
  <c r="J427" i="1"/>
  <c r="J428" i="1"/>
  <c r="J429" i="1"/>
  <c r="J430" i="1"/>
  <c r="J431" i="1"/>
  <c r="J432" i="1"/>
  <c r="J433" i="1"/>
  <c r="J434" i="1"/>
  <c r="J435" i="1"/>
  <c r="J436" i="1"/>
  <c r="J437"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80"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73" i="1"/>
  <c r="J76" i="1"/>
  <c r="J77" i="1"/>
  <c r="J78" i="1"/>
  <c r="J79" i="1"/>
  <c r="J80" i="1"/>
  <c r="J81" i="1"/>
  <c r="J82" i="1"/>
  <c r="J83" i="1"/>
  <c r="J84" i="1"/>
  <c r="J85" i="1"/>
  <c r="J86" i="1"/>
  <c r="J87" i="1"/>
  <c r="J88" i="1"/>
  <c r="J89" i="1"/>
  <c r="J90" i="1"/>
  <c r="J91" i="1"/>
  <c r="J92" i="1"/>
  <c r="J93" i="1"/>
  <c r="J94" i="1"/>
  <c r="J95" i="1"/>
  <c r="J96" i="1"/>
  <c r="J97" i="1"/>
  <c r="J44" i="1"/>
  <c r="J45" i="1"/>
  <c r="J46" i="1"/>
  <c r="J47" i="1"/>
  <c r="J48" i="1"/>
  <c r="J49" i="1"/>
  <c r="J50" i="1"/>
  <c r="J51" i="1"/>
  <c r="J52" i="1"/>
  <c r="J53" i="1"/>
  <c r="J54" i="1"/>
  <c r="J55" i="1"/>
  <c r="J56" i="1"/>
  <c r="J57" i="1"/>
  <c r="J58" i="1"/>
  <c r="J59" i="1"/>
  <c r="J60" i="1"/>
  <c r="J61" i="1"/>
  <c r="J62" i="1"/>
  <c r="J63" i="1"/>
  <c r="J64" i="1"/>
  <c r="J65" i="1"/>
  <c r="J66" i="1"/>
  <c r="J67" i="1"/>
  <c r="J71" i="1"/>
  <c r="J72" i="1"/>
  <c r="J33" i="1"/>
  <c r="J34" i="1"/>
  <c r="J35" i="1"/>
  <c r="J36" i="1"/>
  <c r="J37" i="1"/>
  <c r="J38" i="1"/>
  <c r="J39" i="1"/>
  <c r="J40" i="1"/>
  <c r="J41" i="1"/>
  <c r="J42" i="1"/>
  <c r="J43" i="1"/>
  <c r="J28" i="1"/>
  <c r="J29" i="1"/>
  <c r="J30" i="1"/>
  <c r="J31" i="1"/>
  <c r="J32" i="1"/>
  <c r="J19" i="1"/>
  <c r="J20" i="1"/>
  <c r="J21" i="1"/>
  <c r="J22" i="1"/>
  <c r="J23" i="1"/>
  <c r="J24" i="1"/>
  <c r="J25" i="1"/>
  <c r="J26" i="1"/>
  <c r="J27" i="1"/>
  <c r="J16" i="1"/>
  <c r="J17" i="1"/>
  <c r="J18" i="1"/>
  <c r="J12" i="1"/>
  <c r="J13" i="1"/>
  <c r="J14" i="1"/>
  <c r="J15" i="1"/>
  <c r="J7" i="1"/>
  <c r="J8" i="1"/>
  <c r="J9" i="1"/>
  <c r="J10" i="1"/>
  <c r="J11" i="1"/>
  <c r="J3" i="1"/>
  <c r="J4" i="1"/>
  <c r="J5" i="1"/>
  <c r="J6" i="1"/>
  <c r="K235" i="1"/>
  <c r="K227" i="1"/>
  <c r="K13" i="1"/>
  <c r="K14" i="1"/>
  <c r="K15" i="1"/>
  <c r="K16" i="1"/>
  <c r="K17" i="1"/>
  <c r="K18" i="1"/>
  <c r="K19" i="1"/>
  <c r="K20" i="1"/>
  <c r="K21" i="1"/>
  <c r="K22" i="1"/>
  <c r="K23" i="1"/>
  <c r="K24" i="1"/>
  <c r="K25" i="1"/>
  <c r="K26" i="1"/>
  <c r="K27" i="1"/>
  <c r="K29" i="1"/>
  <c r="K30" i="1"/>
  <c r="K31" i="1"/>
  <c r="K32" i="1"/>
  <c r="K34" i="1"/>
  <c r="K35" i="1"/>
  <c r="K36" i="1"/>
  <c r="K40" i="1"/>
  <c r="K41" i="1"/>
  <c r="K42" i="1"/>
  <c r="K43" i="1"/>
  <c r="K48" i="1"/>
  <c r="K49" i="1"/>
  <c r="K63" i="1"/>
  <c r="K64" i="1"/>
  <c r="K65" i="1"/>
  <c r="K66" i="1"/>
  <c r="K71" i="1"/>
  <c r="K72" i="1"/>
  <c r="K76" i="1"/>
  <c r="K77" i="1"/>
  <c r="K78" i="1"/>
  <c r="K79" i="1"/>
  <c r="K80" i="1"/>
  <c r="K81" i="1"/>
  <c r="K82" i="1"/>
  <c r="K83" i="1"/>
  <c r="K84" i="1"/>
  <c r="K85" i="1"/>
  <c r="K86" i="1"/>
  <c r="K94" i="1"/>
  <c r="K95" i="1"/>
  <c r="K96" i="1"/>
  <c r="K97" i="1"/>
  <c r="K100" i="1"/>
  <c r="K101" i="1"/>
  <c r="K102" i="1"/>
  <c r="K103" i="1"/>
  <c r="K104" i="1"/>
  <c r="K105" i="1"/>
  <c r="K106" i="1"/>
  <c r="K107" i="1"/>
  <c r="K108" i="1"/>
  <c r="K109" i="1"/>
  <c r="K110" i="1"/>
  <c r="K111" i="1"/>
  <c r="K112" i="1"/>
  <c r="K113" i="1"/>
  <c r="K114" i="1"/>
  <c r="K115" i="1"/>
  <c r="K116" i="1"/>
  <c r="K117" i="1"/>
  <c r="K121" i="1"/>
  <c r="K124" i="1"/>
  <c r="K126" i="1"/>
  <c r="K127" i="1"/>
  <c r="K128" i="1"/>
  <c r="K129" i="1"/>
  <c r="K130" i="1"/>
  <c r="K131" i="1"/>
  <c r="K132" i="1"/>
  <c r="K133" i="1"/>
  <c r="K134" i="1"/>
  <c r="K141" i="1"/>
  <c r="K142" i="1"/>
  <c r="K143" i="1"/>
  <c r="K150" i="1"/>
  <c r="K151" i="1"/>
  <c r="K152" i="1"/>
  <c r="K153" i="1"/>
  <c r="K154" i="1"/>
  <c r="K155" i="1"/>
  <c r="K156" i="1"/>
  <c r="K157" i="1"/>
  <c r="K158" i="1"/>
  <c r="K159" i="1"/>
  <c r="K160" i="1"/>
  <c r="K161" i="1"/>
  <c r="K163" i="1"/>
  <c r="K164" i="1"/>
  <c r="K165" i="1"/>
  <c r="K166" i="1"/>
  <c r="K167" i="1"/>
  <c r="K168" i="1"/>
  <c r="K169" i="1"/>
  <c r="K170" i="1"/>
  <c r="K171" i="1"/>
  <c r="K172" i="1"/>
  <c r="K173" i="1"/>
  <c r="K174" i="1"/>
  <c r="K175" i="1"/>
  <c r="K176" i="1"/>
  <c r="K177" i="1"/>
  <c r="K178" i="1"/>
  <c r="K179" i="1"/>
  <c r="K180" i="1"/>
  <c r="K181" i="1"/>
  <c r="K182" i="1"/>
  <c r="K183" i="1"/>
  <c r="K188" i="1"/>
  <c r="K189" i="1"/>
  <c r="K190" i="1"/>
  <c r="K191" i="1"/>
  <c r="K192" i="1"/>
  <c r="K193" i="1"/>
  <c r="K194" i="1"/>
  <c r="K195" i="1"/>
  <c r="K196" i="1"/>
  <c r="K197" i="1"/>
  <c r="K198" i="1"/>
  <c r="K199" i="1"/>
  <c r="K200" i="1"/>
  <c r="K201" i="1"/>
  <c r="K202" i="1"/>
  <c r="K203" i="1"/>
  <c r="K204" i="1"/>
  <c r="K205" i="1"/>
  <c r="K206" i="1"/>
  <c r="K207" i="1"/>
  <c r="K213" i="1"/>
  <c r="K214" i="1"/>
  <c r="K215" i="1"/>
  <c r="K216" i="1"/>
  <c r="K217" i="1"/>
  <c r="K218" i="1"/>
  <c r="K220" i="1"/>
  <c r="K221" i="1"/>
  <c r="K222" i="1"/>
  <c r="K223" i="1"/>
  <c r="K224" i="1"/>
  <c r="K225" i="1"/>
  <c r="K236"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20" i="1"/>
  <c r="K321" i="1"/>
  <c r="K322" i="1"/>
  <c r="K323" i="1"/>
  <c r="K324" i="1"/>
  <c r="K325" i="1"/>
  <c r="K326" i="1"/>
  <c r="K327" i="1"/>
  <c r="K328" i="1"/>
  <c r="K329" i="1"/>
  <c r="K330" i="1"/>
  <c r="K331" i="1"/>
  <c r="K332" i="1"/>
  <c r="K333" i="1"/>
  <c r="K334" i="1"/>
  <c r="K335" i="1"/>
  <c r="K336" i="1"/>
  <c r="K337" i="1"/>
  <c r="K340" i="1"/>
  <c r="K342" i="1"/>
  <c r="K343" i="1"/>
  <c r="K344" i="1"/>
  <c r="K345" i="1"/>
  <c r="K347" i="1"/>
  <c r="K348" i="1"/>
  <c r="K349" i="1"/>
  <c r="K350" i="1"/>
  <c r="K351" i="1"/>
  <c r="K356" i="1"/>
  <c r="K358" i="1"/>
  <c r="K359" i="1"/>
  <c r="K360" i="1"/>
  <c r="K361" i="1"/>
  <c r="K362" i="1"/>
  <c r="K363" i="1"/>
  <c r="K364" i="1"/>
  <c r="K368" i="1"/>
  <c r="K369" i="1"/>
  <c r="K370" i="1"/>
  <c r="K387" i="1"/>
  <c r="K388" i="1"/>
  <c r="K389" i="1"/>
  <c r="K390" i="1"/>
  <c r="K391" i="1"/>
  <c r="K392" i="1"/>
  <c r="K393" i="1"/>
  <c r="K394" i="1"/>
  <c r="K397" i="1"/>
  <c r="K398" i="1"/>
  <c r="K399" i="1"/>
  <c r="K400" i="1"/>
  <c r="K401" i="1"/>
  <c r="K402" i="1"/>
  <c r="K403" i="1"/>
  <c r="K409" i="1"/>
  <c r="K410" i="1"/>
  <c r="K411" i="1"/>
  <c r="K412" i="1"/>
  <c r="K413" i="1"/>
  <c r="K415" i="1"/>
  <c r="K419" i="1"/>
  <c r="K420" i="1"/>
  <c r="K421" i="1"/>
  <c r="K422" i="1"/>
  <c r="K423" i="1"/>
  <c r="K424" i="1"/>
  <c r="K425" i="1"/>
  <c r="K426" i="1"/>
  <c r="K427" i="1"/>
  <c r="K428" i="1"/>
  <c r="K429" i="1"/>
  <c r="K430" i="1"/>
  <c r="K432" i="1"/>
  <c r="K433" i="1"/>
  <c r="K434" i="1"/>
  <c r="K435" i="1"/>
  <c r="K436" i="1"/>
  <c r="K437" i="1"/>
  <c r="K440" i="1"/>
  <c r="K441" i="1"/>
  <c r="K442" i="1"/>
  <c r="K443" i="1"/>
  <c r="K444" i="1"/>
  <c r="K445" i="1"/>
  <c r="K446" i="1"/>
  <c r="K447" i="1"/>
  <c r="K448" i="1"/>
  <c r="K452" i="1"/>
  <c r="K453" i="1"/>
  <c r="K457" i="1"/>
  <c r="K458" i="1"/>
  <c r="K459" i="1"/>
  <c r="K460" i="1"/>
  <c r="K461" i="1"/>
  <c r="K462" i="1"/>
  <c r="K463" i="1"/>
  <c r="K464" i="1"/>
  <c r="K465" i="1"/>
  <c r="K466" i="1"/>
  <c r="K467" i="1"/>
  <c r="K469" i="1"/>
  <c r="K470" i="1"/>
  <c r="K471" i="1"/>
  <c r="K472" i="1"/>
  <c r="K473" i="1"/>
  <c r="K479" i="1"/>
  <c r="K482" i="1"/>
  <c r="K483" i="1"/>
  <c r="K484" i="1"/>
  <c r="K485" i="1"/>
  <c r="K486" i="1"/>
  <c r="K487" i="1"/>
  <c r="K488" i="1"/>
  <c r="K489" i="1"/>
  <c r="K490" i="1"/>
  <c r="K491" i="1"/>
  <c r="K492" i="1"/>
  <c r="K493" i="1"/>
  <c r="K498" i="1"/>
  <c r="K499" i="1"/>
  <c r="K500" i="1"/>
  <c r="K501" i="1"/>
  <c r="K502" i="1"/>
  <c r="K503" i="1"/>
  <c r="K504" i="1"/>
  <c r="K506" i="1"/>
  <c r="K507" i="1"/>
  <c r="K508" i="1"/>
  <c r="K515" i="1"/>
  <c r="K516" i="1"/>
  <c r="K517" i="1"/>
  <c r="K518" i="1"/>
  <c r="K520" i="1"/>
  <c r="K521" i="1"/>
  <c r="K522" i="1"/>
  <c r="K523" i="1"/>
  <c r="K525" i="1"/>
  <c r="K526" i="1"/>
  <c r="K530" i="1"/>
  <c r="K531" i="1"/>
  <c r="K532" i="1"/>
  <c r="K536" i="1"/>
  <c r="K537" i="1"/>
  <c r="K538" i="1"/>
  <c r="K539" i="1"/>
  <c r="K540" i="1"/>
  <c r="K541" i="1"/>
  <c r="K542" i="1"/>
  <c r="K543" i="1"/>
  <c r="K544" i="1"/>
  <c r="K548" i="1"/>
  <c r="K549" i="1"/>
  <c r="K550" i="1"/>
  <c r="K551" i="1"/>
  <c r="K552" i="1"/>
  <c r="K553" i="1"/>
  <c r="K554" i="1"/>
  <c r="K555" i="1"/>
  <c r="K557" i="1"/>
  <c r="K558" i="1"/>
  <c r="K560" i="1"/>
  <c r="K561" i="1"/>
  <c r="K562" i="1"/>
  <c r="K563" i="1"/>
  <c r="K564" i="1"/>
  <c r="K566" i="1"/>
  <c r="K567" i="1"/>
  <c r="K568" i="1"/>
  <c r="K569" i="1"/>
  <c r="K570" i="1"/>
  <c r="K571" i="1"/>
  <c r="K576" i="1"/>
  <c r="K577" i="1"/>
  <c r="K578" i="1"/>
  <c r="K579" i="1"/>
  <c r="K581" i="1"/>
  <c r="K582" i="1"/>
  <c r="K583" i="1"/>
  <c r="K584" i="1"/>
  <c r="K590" i="1"/>
  <c r="K591" i="1"/>
  <c r="K592" i="1"/>
  <c r="K593" i="1"/>
  <c r="K594" i="1"/>
  <c r="K595" i="1"/>
  <c r="K610" i="1"/>
  <c r="K611" i="1"/>
  <c r="K612" i="1"/>
  <c r="K613" i="1"/>
  <c r="K614" i="1"/>
  <c r="K615" i="1"/>
  <c r="K616" i="1"/>
  <c r="K617" i="1"/>
  <c r="K618" i="1"/>
  <c r="K619" i="1"/>
  <c r="K620" i="1"/>
  <c r="K621" i="1"/>
  <c r="K622" i="1"/>
  <c r="K623" i="1"/>
  <c r="K624" i="1"/>
  <c r="K625" i="1"/>
  <c r="K626" i="1"/>
  <c r="K627" i="1"/>
  <c r="K628" i="1"/>
  <c r="K629" i="1"/>
  <c r="K630" i="1"/>
  <c r="K631" i="1"/>
  <c r="K632" i="1"/>
  <c r="K633"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2" i="1"/>
  <c r="K713" i="1"/>
  <c r="K714" i="1"/>
  <c r="K715" i="1"/>
  <c r="K716" i="1"/>
  <c r="K717" i="1"/>
  <c r="K718" i="1"/>
  <c r="K719" i="1"/>
  <c r="K720" i="1"/>
  <c r="K721" i="1"/>
  <c r="K722" i="1"/>
  <c r="K723" i="1"/>
  <c r="K724" i="1"/>
  <c r="K725" i="1"/>
  <c r="K726" i="1"/>
  <c r="K727" i="1"/>
  <c r="K728" i="1"/>
  <c r="K729" i="1"/>
  <c r="K730" i="1"/>
  <c r="K731" i="1"/>
  <c r="K732" i="1"/>
  <c r="K733" i="1"/>
  <c r="K734" i="1"/>
  <c r="K735" i="1"/>
  <c r="K737" i="1"/>
  <c r="K738" i="1"/>
  <c r="K739" i="1"/>
  <c r="K740" i="1"/>
  <c r="K741" i="1"/>
  <c r="K742" i="1"/>
  <c r="K743" i="1"/>
  <c r="K744" i="1"/>
  <c r="K745" i="1"/>
  <c r="K746" i="1"/>
  <c r="K747" i="1"/>
  <c r="K748" i="1"/>
  <c r="K749" i="1"/>
  <c r="K750" i="1"/>
  <c r="K751" i="1"/>
  <c r="K752" i="1"/>
  <c r="K753" i="1"/>
  <c r="K754" i="1"/>
  <c r="K755" i="1"/>
  <c r="K759" i="1"/>
  <c r="K760" i="1"/>
  <c r="K761" i="1"/>
  <c r="K762" i="1"/>
  <c r="K763" i="1"/>
  <c r="K764" i="1"/>
  <c r="N760" i="1"/>
  <c r="N748" i="1"/>
  <c r="N749" i="1"/>
  <c r="N750" i="1"/>
  <c r="N751" i="1"/>
  <c r="N752" i="1"/>
  <c r="O752" i="1" s="1"/>
  <c r="N753" i="1"/>
  <c r="N754" i="1"/>
  <c r="N755" i="1"/>
  <c r="N759" i="1"/>
  <c r="O759" i="1" s="1"/>
  <c r="N761" i="1"/>
  <c r="N762" i="1"/>
  <c r="N763" i="1"/>
  <c r="N764" i="1"/>
  <c r="N730" i="1"/>
  <c r="O730" i="1" s="1"/>
  <c r="N731" i="1"/>
  <c r="O731" i="1" s="1"/>
  <c r="N732" i="1"/>
  <c r="O732" i="1" s="1"/>
  <c r="N733" i="1"/>
  <c r="O733" i="1" s="1"/>
  <c r="N734" i="1"/>
  <c r="O734" i="1" s="1"/>
  <c r="N735" i="1"/>
  <c r="N737" i="1"/>
  <c r="N738" i="1"/>
  <c r="O738" i="1" s="1"/>
  <c r="N739" i="1"/>
  <c r="N740" i="1"/>
  <c r="N741" i="1"/>
  <c r="N742" i="1"/>
  <c r="N743" i="1"/>
  <c r="N744" i="1"/>
  <c r="N745" i="1"/>
  <c r="N746" i="1"/>
  <c r="N747" i="1"/>
  <c r="N725" i="1"/>
  <c r="O725" i="1" s="1"/>
  <c r="N726" i="1"/>
  <c r="N727" i="1"/>
  <c r="O727" i="1" s="1"/>
  <c r="N728" i="1"/>
  <c r="N729" i="1"/>
  <c r="O729" i="1" s="1"/>
  <c r="N699" i="1"/>
  <c r="N700" i="1"/>
  <c r="N701" i="1"/>
  <c r="N702" i="1"/>
  <c r="N703" i="1"/>
  <c r="N704" i="1"/>
  <c r="N705" i="1"/>
  <c r="N706" i="1"/>
  <c r="N707" i="1"/>
  <c r="N708" i="1"/>
  <c r="N709" i="1"/>
  <c r="N710" i="1"/>
  <c r="N711" i="1"/>
  <c r="N712" i="1"/>
  <c r="O712" i="1" s="1"/>
  <c r="N713" i="1"/>
  <c r="N714" i="1"/>
  <c r="O714" i="1" s="1"/>
  <c r="N715" i="1"/>
  <c r="O715" i="1" s="1"/>
  <c r="N716" i="1"/>
  <c r="N717" i="1"/>
  <c r="O717" i="1" s="1"/>
  <c r="N718" i="1"/>
  <c r="N719" i="1"/>
  <c r="N720" i="1"/>
  <c r="O720" i="1" s="1"/>
  <c r="N721" i="1"/>
  <c r="O721" i="1" s="1"/>
  <c r="N722" i="1"/>
  <c r="N723" i="1"/>
  <c r="O723" i="1" s="1"/>
  <c r="N724" i="1"/>
  <c r="O724" i="1" s="1"/>
  <c r="N696" i="1"/>
  <c r="O696" i="1" s="1"/>
  <c r="N697" i="1"/>
  <c r="O697" i="1" s="1"/>
  <c r="N698" i="1"/>
  <c r="N537" i="1"/>
  <c r="O537" i="1" s="1"/>
  <c r="N538" i="1"/>
  <c r="O538" i="1" s="1"/>
  <c r="N539" i="1"/>
  <c r="N540" i="1"/>
  <c r="O540" i="1" s="1"/>
  <c r="N541" i="1"/>
  <c r="O541" i="1" s="1"/>
  <c r="N542" i="1"/>
  <c r="O542" i="1" s="1"/>
  <c r="N543" i="1"/>
  <c r="O543" i="1" s="1"/>
  <c r="N544" i="1"/>
  <c r="O544" i="1" s="1"/>
  <c r="C26" i="56"/>
  <c r="F26" i="56" s="1"/>
  <c r="G26" i="56" s="1"/>
  <c r="C25" i="56"/>
  <c r="F25" i="56" s="1"/>
  <c r="G25" i="56" s="1"/>
  <c r="N5" i="58"/>
  <c r="O5" i="58" s="1"/>
  <c r="Q5" i="58" s="1"/>
  <c r="R5" i="58" s="1"/>
  <c r="N2" i="58"/>
  <c r="N3" i="58"/>
  <c r="N4" i="58"/>
  <c r="P4" i="58" s="1"/>
  <c r="Q2" i="58" s="1"/>
  <c r="R2" i="58" s="1"/>
  <c r="S2" i="58" s="1"/>
  <c r="N3" i="1"/>
  <c r="O3" i="1" s="1"/>
  <c r="K3" i="58"/>
  <c r="K4" i="58"/>
  <c r="K5" i="58"/>
  <c r="K2" i="58"/>
  <c r="J3" i="58"/>
  <c r="J4" i="58"/>
  <c r="J5" i="58"/>
  <c r="J2" i="58"/>
  <c r="Q626" i="1"/>
  <c r="Q482" i="1"/>
  <c r="R482" i="1" s="1"/>
  <c r="S482" i="1" s="1"/>
  <c r="Q537" i="1"/>
  <c r="R537" i="1" s="1"/>
  <c r="S537" i="1" s="1"/>
  <c r="R554" i="1"/>
  <c r="R626" i="1"/>
  <c r="Q134" i="1"/>
  <c r="R134" i="1" s="1"/>
  <c r="Q130" i="1"/>
  <c r="R130" i="1" s="1"/>
  <c r="S130" i="1" s="1"/>
  <c r="N134" i="1"/>
  <c r="N130" i="1"/>
  <c r="N131" i="1"/>
  <c r="N132" i="1"/>
  <c r="N133" i="1"/>
  <c r="P133" i="1" s="1"/>
  <c r="N129" i="1"/>
  <c r="N127" i="1"/>
  <c r="N128" i="1"/>
  <c r="Q124" i="1"/>
  <c r="R124" i="1" s="1"/>
  <c r="Q123" i="1"/>
  <c r="Q122" i="1"/>
  <c r="Q120" i="1"/>
  <c r="Q599" i="1"/>
  <c r="R599" i="1" s="1"/>
  <c r="Q600" i="1"/>
  <c r="R600" i="1" s="1"/>
  <c r="Q601" i="1"/>
  <c r="R601" i="1" s="1"/>
  <c r="Q602" i="1"/>
  <c r="R602" i="1" s="1"/>
  <c r="Q603" i="1"/>
  <c r="R603" i="1" s="1"/>
  <c r="Q604" i="1"/>
  <c r="R604" i="1" s="1"/>
  <c r="Q605" i="1"/>
  <c r="R605" i="1" s="1"/>
  <c r="Q598" i="1"/>
  <c r="R598" i="1" s="1"/>
  <c r="S554" i="1"/>
  <c r="N159" i="1"/>
  <c r="N160" i="1"/>
  <c r="N161" i="1"/>
  <c r="Q159" i="1"/>
  <c r="R159" i="1" s="1"/>
  <c r="S159" i="1" s="1"/>
  <c r="Q536" i="1"/>
  <c r="R536" i="1" s="1"/>
  <c r="S536" i="1" s="1"/>
  <c r="N536" i="1"/>
  <c r="N85" i="1"/>
  <c r="O85" i="1" s="1"/>
  <c r="N86" i="1"/>
  <c r="O86" i="1" s="1"/>
  <c r="N78" i="1"/>
  <c r="N79" i="1"/>
  <c r="N80" i="1"/>
  <c r="O80" i="1" s="1"/>
  <c r="D5" i="60"/>
  <c r="D9" i="60"/>
  <c r="D15" i="60"/>
  <c r="E5" i="60"/>
  <c r="E15" i="60"/>
  <c r="F15" i="60"/>
  <c r="G10" i="60"/>
  <c r="H3" i="60"/>
  <c r="H4" i="60"/>
  <c r="H5" i="60"/>
  <c r="H7" i="60"/>
  <c r="H8" i="60"/>
  <c r="H9" i="60"/>
  <c r="H10" i="60"/>
  <c r="H13" i="60"/>
  <c r="H14" i="60"/>
  <c r="H15" i="60"/>
  <c r="H16" i="60"/>
  <c r="I3" i="60"/>
  <c r="I4" i="60"/>
  <c r="I5" i="60"/>
  <c r="I6" i="60"/>
  <c r="I7" i="60"/>
  <c r="I8" i="60"/>
  <c r="I9" i="60"/>
  <c r="I10" i="60"/>
  <c r="I11" i="60"/>
  <c r="I12" i="60"/>
  <c r="I13" i="60"/>
  <c r="I14" i="60"/>
  <c r="I15" i="60"/>
  <c r="I16" i="60"/>
  <c r="I2" i="60"/>
  <c r="C3" i="60"/>
  <c r="C4" i="60"/>
  <c r="C5" i="60"/>
  <c r="C7" i="60"/>
  <c r="C8" i="60"/>
  <c r="C9" i="60"/>
  <c r="C10" i="60"/>
  <c r="C11" i="60"/>
  <c r="C12" i="60"/>
  <c r="C13" i="60"/>
  <c r="C14" i="60"/>
  <c r="C15" i="60"/>
  <c r="C16" i="60"/>
  <c r="C2" i="60"/>
  <c r="Q78" i="1"/>
  <c r="R78" i="1" s="1"/>
  <c r="S78" i="1" s="1"/>
  <c r="Q60" i="1"/>
  <c r="Q59" i="1"/>
  <c r="R59" i="1"/>
  <c r="R60" i="1"/>
  <c r="Q58" i="1"/>
  <c r="R58" i="1" s="1"/>
  <c r="Q53" i="1"/>
  <c r="Q51" i="1"/>
  <c r="R53" i="1"/>
  <c r="R51" i="1"/>
  <c r="Q88" i="1"/>
  <c r="R88" i="1" s="1"/>
  <c r="Q87" i="1"/>
  <c r="R87" i="1" s="1"/>
  <c r="I3" i="59"/>
  <c r="I4" i="59"/>
  <c r="I5" i="59"/>
  <c r="I6" i="59"/>
  <c r="I7" i="59"/>
  <c r="I8" i="59"/>
  <c r="I9" i="59"/>
  <c r="I10" i="59"/>
  <c r="I11" i="59"/>
  <c r="I12" i="59"/>
  <c r="I13" i="59"/>
  <c r="I14" i="59"/>
  <c r="I15" i="59"/>
  <c r="I16" i="59"/>
  <c r="I17" i="59"/>
  <c r="I18" i="59"/>
  <c r="I19" i="59"/>
  <c r="I20" i="59"/>
  <c r="I21" i="59"/>
  <c r="I22" i="59"/>
  <c r="I23" i="59"/>
  <c r="I24" i="59"/>
  <c r="I25" i="59"/>
  <c r="I26" i="59"/>
  <c r="I27" i="59"/>
  <c r="I28" i="59"/>
  <c r="I29" i="59"/>
  <c r="I30" i="59"/>
  <c r="I31" i="59"/>
  <c r="I32" i="59"/>
  <c r="I33" i="59"/>
  <c r="I34" i="59"/>
  <c r="I35" i="59"/>
  <c r="I36" i="59"/>
  <c r="I37" i="59"/>
  <c r="I38" i="59"/>
  <c r="I39" i="59"/>
  <c r="I40" i="59"/>
  <c r="I41" i="59"/>
  <c r="I42" i="59"/>
  <c r="H4" i="59"/>
  <c r="H5" i="59"/>
  <c r="H10" i="59"/>
  <c r="H11" i="59"/>
  <c r="H12" i="59"/>
  <c r="H13" i="59"/>
  <c r="H14" i="59"/>
  <c r="H15" i="59"/>
  <c r="H16" i="59"/>
  <c r="H17" i="59"/>
  <c r="H18" i="59"/>
  <c r="H19" i="59"/>
  <c r="H20" i="59"/>
  <c r="H21" i="59"/>
  <c r="H22" i="59"/>
  <c r="H23" i="59"/>
  <c r="H24" i="59"/>
  <c r="H25" i="59"/>
  <c r="H26" i="59"/>
  <c r="H27" i="59"/>
  <c r="H28" i="59"/>
  <c r="H29" i="59"/>
  <c r="H31" i="59"/>
  <c r="H32" i="59"/>
  <c r="H33" i="59"/>
  <c r="H36" i="59"/>
  <c r="H37" i="59"/>
  <c r="H38" i="59"/>
  <c r="H40" i="59"/>
  <c r="H41" i="59"/>
  <c r="H42" i="59"/>
  <c r="I2" i="59"/>
  <c r="H2" i="59"/>
  <c r="G5" i="59"/>
  <c r="G8" i="59"/>
  <c r="G10" i="59"/>
  <c r="G13" i="59"/>
  <c r="G19" i="59"/>
  <c r="G21" i="59"/>
  <c r="G24" i="59"/>
  <c r="G26" i="59"/>
  <c r="G32" i="59"/>
  <c r="G33" i="59"/>
  <c r="G34" i="59"/>
  <c r="G36" i="59"/>
  <c r="G37" i="59"/>
  <c r="G40" i="59"/>
  <c r="G41" i="59"/>
  <c r="G42" i="59"/>
  <c r="F3" i="59"/>
  <c r="F8" i="59"/>
  <c r="F16" i="59"/>
  <c r="F17" i="59"/>
  <c r="F21" i="59"/>
  <c r="F23" i="59"/>
  <c r="F24" i="59"/>
  <c r="F36" i="59"/>
  <c r="F37" i="59"/>
  <c r="F40" i="59"/>
  <c r="F41" i="59"/>
  <c r="F42" i="59"/>
  <c r="E5" i="59"/>
  <c r="E7" i="59"/>
  <c r="E11" i="59"/>
  <c r="E15" i="59"/>
  <c r="E16" i="59"/>
  <c r="E23" i="59"/>
  <c r="E33" i="59"/>
  <c r="E37" i="59"/>
  <c r="E40" i="59"/>
  <c r="E41" i="59"/>
  <c r="E42" i="59"/>
  <c r="D5" i="59"/>
  <c r="D8" i="59"/>
  <c r="D10" i="59"/>
  <c r="D11" i="59"/>
  <c r="D15" i="59"/>
  <c r="D16" i="59"/>
  <c r="D20" i="59"/>
  <c r="D21" i="59"/>
  <c r="D24" i="59"/>
  <c r="D29" i="59"/>
  <c r="D36" i="59"/>
  <c r="D40" i="59"/>
  <c r="D41" i="59"/>
  <c r="D42" i="59"/>
  <c r="D2" i="59"/>
  <c r="C3" i="59"/>
  <c r="C4" i="59"/>
  <c r="C5" i="59"/>
  <c r="C7" i="59"/>
  <c r="C8" i="59"/>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39" i="59"/>
  <c r="C40" i="59"/>
  <c r="C41" i="59"/>
  <c r="C42" i="59"/>
  <c r="C2" i="59"/>
  <c r="R513" i="1"/>
  <c r="H30" i="59" s="1"/>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8" i="42"/>
  <c r="D7" i="42"/>
  <c r="D8" i="37"/>
  <c r="Q356" i="1"/>
  <c r="R356" i="1" s="1"/>
  <c r="Q92" i="1"/>
  <c r="R92" i="1" s="1"/>
  <c r="H7" i="59" s="1"/>
  <c r="N419" i="1"/>
  <c r="Q419" i="1"/>
  <c r="R419" i="1"/>
  <c r="D25" i="59" s="1"/>
  <c r="S419" i="1"/>
  <c r="N420" i="1"/>
  <c r="N421" i="1"/>
  <c r="N422" i="1"/>
  <c r="N423" i="1"/>
  <c r="N424" i="1"/>
  <c r="N425" i="1"/>
  <c r="N426" i="1"/>
  <c r="N427" i="1"/>
  <c r="N428" i="1"/>
  <c r="N429" i="1"/>
  <c r="N430" i="1"/>
  <c r="N431" i="1"/>
  <c r="N4" i="1"/>
  <c r="Q4" i="1"/>
  <c r="R4" i="1" s="1"/>
  <c r="D42" i="57"/>
  <c r="F42" i="57" s="1"/>
  <c r="C42" i="57"/>
  <c r="G42" i="57" s="1"/>
  <c r="F43" i="52"/>
  <c r="E43" i="52"/>
  <c r="D43" i="52"/>
  <c r="C43" i="52"/>
  <c r="G43" i="52" s="1"/>
  <c r="D49" i="43"/>
  <c r="D49" i="44"/>
  <c r="E49" i="44" s="1"/>
  <c r="G47" i="39"/>
  <c r="H47" i="39" s="1"/>
  <c r="D47" i="37"/>
  <c r="D47" i="55"/>
  <c r="F48" i="53"/>
  <c r="E48" i="53"/>
  <c r="D48" i="53"/>
  <c r="C48" i="53"/>
  <c r="E28" i="48"/>
  <c r="D28" i="48"/>
  <c r="C28" i="48"/>
  <c r="F28" i="48" s="1"/>
  <c r="S42" i="15"/>
  <c r="D47" i="36" s="1"/>
  <c r="R42" i="15"/>
  <c r="K42" i="15"/>
  <c r="I42" i="15"/>
  <c r="G28" i="48" s="1"/>
  <c r="H28" i="48" s="1"/>
  <c r="E42" i="15"/>
  <c r="E47" i="36" s="1"/>
  <c r="D42" i="15"/>
  <c r="D46" i="10" s="1"/>
  <c r="C42" i="15"/>
  <c r="C47" i="39" s="1"/>
  <c r="D59" i="24"/>
  <c r="D34" i="24"/>
  <c r="D40" i="57"/>
  <c r="F40" i="57" s="1"/>
  <c r="D41" i="57"/>
  <c r="F41" i="57" s="1"/>
  <c r="C40" i="57"/>
  <c r="G40" i="57" s="1"/>
  <c r="C41" i="57"/>
  <c r="G41" i="57" s="1"/>
  <c r="F41" i="52"/>
  <c r="F42" i="52"/>
  <c r="E41" i="52"/>
  <c r="E42" i="52"/>
  <c r="D41" i="52"/>
  <c r="D42" i="52"/>
  <c r="C41" i="52"/>
  <c r="G41" i="52" s="1"/>
  <c r="C42" i="52"/>
  <c r="G42" i="52" s="1"/>
  <c r="D47" i="43"/>
  <c r="D48" i="43"/>
  <c r="D47" i="44"/>
  <c r="E47" i="44" s="1"/>
  <c r="D48" i="44"/>
  <c r="E48" i="44" s="1"/>
  <c r="G46" i="39"/>
  <c r="H46" i="39" s="1"/>
  <c r="G44" i="39"/>
  <c r="H44" i="39" s="1"/>
  <c r="D45" i="37"/>
  <c r="D46" i="37"/>
  <c r="D45" i="55"/>
  <c r="D46" i="55"/>
  <c r="F47" i="53"/>
  <c r="F25" i="53"/>
  <c r="E47" i="53"/>
  <c r="E25" i="53"/>
  <c r="D47" i="53"/>
  <c r="D25" i="53"/>
  <c r="C47" i="53"/>
  <c r="C25" i="53"/>
  <c r="S40" i="15"/>
  <c r="D45" i="36" s="1"/>
  <c r="S41" i="15"/>
  <c r="D46" i="36" s="1"/>
  <c r="R40" i="15"/>
  <c r="R41" i="15"/>
  <c r="K40" i="15"/>
  <c r="K41" i="15"/>
  <c r="E21" i="48"/>
  <c r="D21" i="48"/>
  <c r="C21" i="48"/>
  <c r="E26" i="48"/>
  <c r="D26" i="48"/>
  <c r="C26" i="48"/>
  <c r="F26" i="48" s="1"/>
  <c r="I40" i="15"/>
  <c r="G21" i="48" s="1"/>
  <c r="I41" i="15"/>
  <c r="G26" i="48" s="1"/>
  <c r="E40" i="15"/>
  <c r="E41" i="15"/>
  <c r="D41" i="15"/>
  <c r="C41" i="15"/>
  <c r="D40" i="15"/>
  <c r="C40" i="15"/>
  <c r="D55" i="24"/>
  <c r="D284" i="24"/>
  <c r="D286" i="24"/>
  <c r="D124" i="24"/>
  <c r="N189" i="1"/>
  <c r="O189" i="1" s="1"/>
  <c r="N190" i="1"/>
  <c r="O190" i="1" s="1"/>
  <c r="N188" i="1"/>
  <c r="N193" i="1"/>
  <c r="N194" i="1"/>
  <c r="N195" i="1"/>
  <c r="N198" i="1"/>
  <c r="N199" i="1"/>
  <c r="N192" i="1"/>
  <c r="D37" i="57"/>
  <c r="F37" i="57" s="1"/>
  <c r="R37" i="15" s="1"/>
  <c r="C37" i="57"/>
  <c r="G37" i="57" s="1"/>
  <c r="S37" i="15" s="1"/>
  <c r="D36" i="57"/>
  <c r="F36" i="57" s="1"/>
  <c r="R36" i="15" s="1"/>
  <c r="C36" i="57"/>
  <c r="G36" i="57" s="1"/>
  <c r="S36" i="15" s="1"/>
  <c r="D33" i="57"/>
  <c r="F33" i="57" s="1"/>
  <c r="R33" i="15" s="1"/>
  <c r="C33" i="57"/>
  <c r="G33" i="57" s="1"/>
  <c r="S33" i="15" s="1"/>
  <c r="D24" i="57"/>
  <c r="F24" i="57" s="1"/>
  <c r="R24" i="15" s="1"/>
  <c r="C24" i="57"/>
  <c r="G24" i="57" s="1"/>
  <c r="S24" i="15" s="1"/>
  <c r="D20" i="57"/>
  <c r="F20" i="57" s="1"/>
  <c r="R20" i="15" s="1"/>
  <c r="C20" i="57"/>
  <c r="G20" i="57" s="1"/>
  <c r="S20" i="15" s="1"/>
  <c r="D18" i="57"/>
  <c r="F18" i="57" s="1"/>
  <c r="R18" i="15" s="1"/>
  <c r="C18" i="57"/>
  <c r="G18" i="57" s="1"/>
  <c r="S18" i="15" s="1"/>
  <c r="D17" i="57"/>
  <c r="F17" i="57" s="1"/>
  <c r="R17" i="15" s="1"/>
  <c r="C17" i="57"/>
  <c r="G17" i="57" s="1"/>
  <c r="S17" i="15" s="1"/>
  <c r="D12" i="57"/>
  <c r="F12" i="57" s="1"/>
  <c r="R12" i="15" s="1"/>
  <c r="C12" i="57"/>
  <c r="G12" i="57" s="1"/>
  <c r="S12" i="15" s="1"/>
  <c r="D8" i="57"/>
  <c r="F8" i="57" s="1"/>
  <c r="R8" i="15" s="1"/>
  <c r="C8" i="57"/>
  <c r="G8" i="57" s="1"/>
  <c r="S8" i="15" s="1"/>
  <c r="Q34" i="1"/>
  <c r="N17" i="1"/>
  <c r="P17" i="1" s="1"/>
  <c r="N18" i="1"/>
  <c r="P18" i="1" s="1"/>
  <c r="S626" i="1" l="1"/>
  <c r="Q245" i="1"/>
  <c r="Q85" i="1"/>
  <c r="R85" i="1" s="1"/>
  <c r="O430" i="1"/>
  <c r="P430" i="1"/>
  <c r="O429" i="1"/>
  <c r="P429" i="1"/>
  <c r="O428" i="1"/>
  <c r="P428" i="1"/>
  <c r="O427" i="1"/>
  <c r="P427" i="1"/>
  <c r="O426" i="1"/>
  <c r="P426" i="1"/>
  <c r="O425" i="1"/>
  <c r="P425" i="1"/>
  <c r="O423" i="1"/>
  <c r="P423" i="1"/>
  <c r="O421" i="1"/>
  <c r="P421" i="1"/>
  <c r="O420" i="1"/>
  <c r="P420" i="1"/>
  <c r="O419" i="1"/>
  <c r="P419" i="1"/>
  <c r="O79" i="1"/>
  <c r="P79" i="1"/>
  <c r="O78" i="1"/>
  <c r="P78" i="1"/>
  <c r="O536" i="1"/>
  <c r="P536" i="1"/>
  <c r="O159" i="1"/>
  <c r="P159" i="1"/>
  <c r="O128" i="1"/>
  <c r="P128" i="1"/>
  <c r="O129" i="1"/>
  <c r="P129" i="1"/>
  <c r="O132" i="1"/>
  <c r="P132" i="1"/>
  <c r="O131" i="1"/>
  <c r="P131" i="1"/>
  <c r="O192" i="1"/>
  <c r="Q192" i="1" s="1"/>
  <c r="R192" i="1" s="1"/>
  <c r="O199" i="1"/>
  <c r="Q199" i="1" s="1"/>
  <c r="R199" i="1" s="1"/>
  <c r="O198" i="1"/>
  <c r="Q198" i="1" s="1"/>
  <c r="R198" i="1" s="1"/>
  <c r="O195" i="1"/>
  <c r="Q195" i="1" s="1"/>
  <c r="R195" i="1" s="1"/>
  <c r="O194" i="1"/>
  <c r="Q194" i="1" s="1"/>
  <c r="R194" i="1" s="1"/>
  <c r="O193" i="1"/>
  <c r="Q193" i="1" s="1"/>
  <c r="R193" i="1" s="1"/>
  <c r="O188" i="1"/>
  <c r="Q188" i="1" s="1"/>
  <c r="R188" i="1" s="1"/>
  <c r="O18" i="1"/>
  <c r="O17" i="1"/>
  <c r="O133" i="1"/>
  <c r="Q133" i="1" s="1"/>
  <c r="R133" i="1" s="1"/>
  <c r="S133" i="1" s="1"/>
  <c r="G25" i="53"/>
  <c r="G47" i="53"/>
  <c r="G48" i="53"/>
  <c r="Q131" i="1"/>
  <c r="R131" i="1" s="1"/>
  <c r="S131" i="1" s="1"/>
  <c r="E13" i="59"/>
  <c r="G46" i="37"/>
  <c r="F46" i="37"/>
  <c r="E46" i="37"/>
  <c r="G45" i="37"/>
  <c r="F45" i="37"/>
  <c r="E45" i="37"/>
  <c r="G47" i="37"/>
  <c r="F47" i="37"/>
  <c r="E47" i="37"/>
  <c r="G8" i="37"/>
  <c r="F8" i="37"/>
  <c r="E8" i="37"/>
  <c r="J42" i="59"/>
  <c r="J41" i="59"/>
  <c r="J40" i="59"/>
  <c r="E46" i="10"/>
  <c r="D47" i="39"/>
  <c r="F42" i="15"/>
  <c r="E47" i="39"/>
  <c r="E49" i="42"/>
  <c r="D46" i="38" s="1"/>
  <c r="E48" i="42"/>
  <c r="D45" i="38" s="1"/>
  <c r="C46" i="10"/>
  <c r="E47" i="42"/>
  <c r="D47" i="38" s="1"/>
  <c r="I46" i="59"/>
  <c r="I47" i="59" s="1"/>
  <c r="C47" i="55"/>
  <c r="C47" i="36"/>
  <c r="F40" i="15"/>
  <c r="C46" i="39"/>
  <c r="C45" i="10"/>
  <c r="D46" i="39"/>
  <c r="D45" i="10"/>
  <c r="F41" i="15"/>
  <c r="C44" i="39"/>
  <c r="C40" i="10"/>
  <c r="D44" i="39"/>
  <c r="D40" i="10"/>
  <c r="E44" i="39"/>
  <c r="E46" i="36"/>
  <c r="E40" i="10"/>
  <c r="E46" i="39"/>
  <c r="E45" i="36"/>
  <c r="E45" i="10"/>
  <c r="C46" i="55"/>
  <c r="C46" i="36"/>
  <c r="C45" i="55"/>
  <c r="C45" i="36"/>
  <c r="H26" i="48"/>
  <c r="F21" i="48"/>
  <c r="F24" i="56"/>
  <c r="F9" i="56"/>
  <c r="F16" i="56"/>
  <c r="F12" i="56"/>
  <c r="Q128" i="1" l="1"/>
  <c r="R128" i="1" s="1"/>
  <c r="S128" i="1" s="1"/>
  <c r="H6" i="59"/>
  <c r="H6" i="60"/>
  <c r="C46" i="12"/>
  <c r="F47" i="39"/>
  <c r="I47" i="39" s="1"/>
  <c r="G42" i="15"/>
  <c r="J42" i="15" s="1"/>
  <c r="F46" i="10"/>
  <c r="G41" i="15"/>
  <c r="J41" i="15" s="1"/>
  <c r="C44" i="12"/>
  <c r="F44" i="39"/>
  <c r="I44" i="39" s="1"/>
  <c r="F40" i="10"/>
  <c r="G40" i="15"/>
  <c r="J40" i="15" s="1"/>
  <c r="C45" i="12"/>
  <c r="F46" i="39"/>
  <c r="I46" i="39" s="1"/>
  <c r="F45" i="10"/>
  <c r="H21" i="48"/>
  <c r="D10" i="56"/>
  <c r="D13" i="56"/>
  <c r="D9" i="56"/>
  <c r="D14" i="56"/>
  <c r="D12" i="56"/>
  <c r="D11" i="56"/>
  <c r="D15" i="56"/>
  <c r="D23" i="56"/>
  <c r="D16" i="56"/>
  <c r="D24" i="56"/>
  <c r="D17" i="56"/>
  <c r="D18" i="56"/>
  <c r="D19" i="56"/>
  <c r="D20" i="56"/>
  <c r="D21" i="56"/>
  <c r="D22" i="56"/>
  <c r="D8" i="56"/>
  <c r="D31" i="56" s="1"/>
  <c r="D13" i="35"/>
  <c r="E13" i="35"/>
  <c r="F13" i="35"/>
  <c r="N666" i="1"/>
  <c r="O666" i="1" s="1"/>
  <c r="N667" i="1"/>
  <c r="O667" i="1" s="1"/>
  <c r="N769" i="1"/>
  <c r="N768" i="1"/>
  <c r="N767" i="1"/>
  <c r="N765" i="1"/>
  <c r="N766" i="1"/>
  <c r="N770" i="1"/>
  <c r="N771" i="1"/>
  <c r="N772" i="1"/>
  <c r="N773" i="1"/>
  <c r="N774" i="1"/>
  <c r="N776" i="1"/>
  <c r="N777" i="1"/>
  <c r="N778" i="1"/>
  <c r="N779" i="1"/>
  <c r="N780" i="1"/>
  <c r="N781" i="1"/>
  <c r="N782" i="1"/>
  <c r="N783" i="1"/>
  <c r="N784" i="1"/>
  <c r="N335" i="1"/>
  <c r="O335" i="1" s="1"/>
  <c r="N336" i="1"/>
  <c r="O336" i="1" s="1"/>
  <c r="N337" i="1"/>
  <c r="N338" i="1"/>
  <c r="N339" i="1"/>
  <c r="N340" i="1"/>
  <c r="O340" i="1" s="1"/>
  <c r="N341" i="1"/>
  <c r="N342" i="1"/>
  <c r="O342" i="1" s="1"/>
  <c r="N343" i="1"/>
  <c r="N344" i="1"/>
  <c r="N347" i="1"/>
  <c r="N348" i="1"/>
  <c r="O348" i="1" s="1"/>
  <c r="N349" i="1"/>
  <c r="O349" i="1" s="1"/>
  <c r="N350" i="1"/>
  <c r="O350" i="1" s="1"/>
  <c r="N351" i="1"/>
  <c r="O351" i="1" s="1"/>
  <c r="N352" i="1"/>
  <c r="N353" i="1"/>
  <c r="N354" i="1"/>
  <c r="N355" i="1"/>
  <c r="N357" i="1"/>
  <c r="N358" i="1"/>
  <c r="O358" i="1" s="1"/>
  <c r="N359" i="1"/>
  <c r="O359" i="1" s="1"/>
  <c r="N360" i="1"/>
  <c r="O360" i="1" s="1"/>
  <c r="N361" i="1"/>
  <c r="O361" i="1" s="1"/>
  <c r="N362" i="1"/>
  <c r="O362" i="1" s="1"/>
  <c r="N363" i="1"/>
  <c r="O363" i="1" s="1"/>
  <c r="N364" i="1"/>
  <c r="O364" i="1" s="1"/>
  <c r="N365" i="1"/>
  <c r="N366" i="1"/>
  <c r="N367" i="1"/>
  <c r="N368" i="1"/>
  <c r="N371" i="1"/>
  <c r="N372" i="1"/>
  <c r="N373" i="1"/>
  <c r="N376" i="1"/>
  <c r="N380" i="1"/>
  <c r="N383" i="1"/>
  <c r="N384" i="1"/>
  <c r="N385" i="1"/>
  <c r="N386" i="1"/>
  <c r="N387" i="1"/>
  <c r="N388" i="1"/>
  <c r="N389" i="1"/>
  <c r="N390" i="1"/>
  <c r="N391" i="1"/>
  <c r="N392" i="1"/>
  <c r="N393" i="1"/>
  <c r="N394" i="1"/>
  <c r="N395" i="1"/>
  <c r="N397" i="1"/>
  <c r="N398" i="1"/>
  <c r="N399" i="1"/>
  <c r="N400" i="1"/>
  <c r="N401" i="1"/>
  <c r="N402" i="1"/>
  <c r="O402" i="1" s="1"/>
  <c r="N403" i="1"/>
  <c r="O403" i="1" s="1"/>
  <c r="N404" i="1"/>
  <c r="N405" i="1"/>
  <c r="N406" i="1"/>
  <c r="N407" i="1"/>
  <c r="N408" i="1"/>
  <c r="N409" i="1"/>
  <c r="N410" i="1"/>
  <c r="N411" i="1"/>
  <c r="N412" i="1"/>
  <c r="N413" i="1"/>
  <c r="N415" i="1"/>
  <c r="N416" i="1"/>
  <c r="N417" i="1"/>
  <c r="N418" i="1"/>
  <c r="P434" i="1"/>
  <c r="N438" i="1"/>
  <c r="N439" i="1"/>
  <c r="N440" i="1"/>
  <c r="O440" i="1" s="1"/>
  <c r="N441" i="1"/>
  <c r="O441" i="1" s="1"/>
  <c r="N442" i="1"/>
  <c r="O442" i="1" s="1"/>
  <c r="N443" i="1"/>
  <c r="O443" i="1" s="1"/>
  <c r="N444" i="1"/>
  <c r="N445" i="1"/>
  <c r="N446" i="1"/>
  <c r="N447" i="1"/>
  <c r="N448" i="1"/>
  <c r="N449" i="1"/>
  <c r="N450" i="1"/>
  <c r="N451" i="1"/>
  <c r="N452" i="1"/>
  <c r="N453" i="1"/>
  <c r="N455" i="1"/>
  <c r="N457" i="1"/>
  <c r="N458" i="1"/>
  <c r="N459" i="1"/>
  <c r="N460" i="1"/>
  <c r="N461" i="1"/>
  <c r="N462" i="1"/>
  <c r="N463" i="1"/>
  <c r="N464" i="1"/>
  <c r="N465" i="1"/>
  <c r="N466" i="1"/>
  <c r="N467" i="1"/>
  <c r="N469" i="1"/>
  <c r="N470" i="1"/>
  <c r="N471" i="1"/>
  <c r="N472" i="1"/>
  <c r="N474" i="1"/>
  <c r="N475" i="1"/>
  <c r="N477" i="1"/>
  <c r="N478" i="1"/>
  <c r="N479" i="1"/>
  <c r="O479" i="1" s="1"/>
  <c r="N480" i="1"/>
  <c r="N494" i="1"/>
  <c r="N495" i="1"/>
  <c r="N496" i="1"/>
  <c r="N497" i="1"/>
  <c r="N498" i="1"/>
  <c r="N499" i="1"/>
  <c r="N500" i="1"/>
  <c r="N501" i="1"/>
  <c r="N502" i="1"/>
  <c r="N503" i="1"/>
  <c r="N504" i="1"/>
  <c r="N505" i="1"/>
  <c r="N506" i="1"/>
  <c r="O506" i="1" s="1"/>
  <c r="N507" i="1"/>
  <c r="O507" i="1" s="1"/>
  <c r="N508" i="1"/>
  <c r="O508" i="1" s="1"/>
  <c r="N509" i="1"/>
  <c r="N510" i="1"/>
  <c r="N511" i="1"/>
  <c r="N512" i="1"/>
  <c r="N514" i="1"/>
  <c r="N515" i="1"/>
  <c r="P515" i="1" s="1"/>
  <c r="N516" i="1"/>
  <c r="P516" i="1" s="1"/>
  <c r="N517" i="1"/>
  <c r="N518" i="1"/>
  <c r="N519" i="1"/>
  <c r="N520" i="1"/>
  <c r="O520" i="1" s="1"/>
  <c r="N521" i="1"/>
  <c r="N522" i="1"/>
  <c r="O522" i="1" s="1"/>
  <c r="N523" i="1"/>
  <c r="O523" i="1" s="1"/>
  <c r="N524" i="1"/>
  <c r="N525" i="1"/>
  <c r="O525" i="1" s="1"/>
  <c r="N526" i="1"/>
  <c r="O526" i="1" s="1"/>
  <c r="N527" i="1"/>
  <c r="N528" i="1"/>
  <c r="N529" i="1"/>
  <c r="N530" i="1"/>
  <c r="O530" i="1" s="1"/>
  <c r="N531" i="1"/>
  <c r="N532" i="1"/>
  <c r="N533" i="1"/>
  <c r="N534" i="1"/>
  <c r="N545" i="1"/>
  <c r="N546" i="1"/>
  <c r="N547" i="1"/>
  <c r="N548" i="1"/>
  <c r="O548" i="1" s="1"/>
  <c r="N549" i="1"/>
  <c r="O549" i="1" s="1"/>
  <c r="N550" i="1"/>
  <c r="O550" i="1" s="1"/>
  <c r="N551" i="1"/>
  <c r="N552" i="1"/>
  <c r="N553" i="1"/>
  <c r="N556" i="1"/>
  <c r="N557" i="1"/>
  <c r="O557" i="1" s="1"/>
  <c r="N558" i="1"/>
  <c r="O558" i="1" s="1"/>
  <c r="N559" i="1"/>
  <c r="N560" i="1"/>
  <c r="O560" i="1" s="1"/>
  <c r="N561" i="1"/>
  <c r="O561" i="1" s="1"/>
  <c r="N562" i="1"/>
  <c r="N563" i="1"/>
  <c r="N564" i="1"/>
  <c r="N565" i="1"/>
  <c r="N566" i="1"/>
  <c r="N567" i="1"/>
  <c r="N568" i="1"/>
  <c r="N569" i="1"/>
  <c r="N570" i="1"/>
  <c r="O570" i="1" s="1"/>
  <c r="N571" i="1"/>
  <c r="N572" i="1"/>
  <c r="N573" i="1"/>
  <c r="N574" i="1"/>
  <c r="N575" i="1"/>
  <c r="N576" i="1"/>
  <c r="N577" i="1"/>
  <c r="N578" i="1"/>
  <c r="N579" i="1"/>
  <c r="N580" i="1"/>
  <c r="N581" i="1"/>
  <c r="N582" i="1"/>
  <c r="O582" i="1" s="1"/>
  <c r="N583" i="1"/>
  <c r="N584" i="1"/>
  <c r="N585" i="1"/>
  <c r="N586" i="1"/>
  <c r="N587" i="1"/>
  <c r="N588" i="1"/>
  <c r="N589" i="1"/>
  <c r="N590" i="1"/>
  <c r="N591" i="1"/>
  <c r="O591" i="1" s="1"/>
  <c r="N592" i="1"/>
  <c r="O592" i="1" s="1"/>
  <c r="N593" i="1"/>
  <c r="O593" i="1" s="1"/>
  <c r="N594" i="1"/>
  <c r="O594" i="1" s="1"/>
  <c r="N595" i="1"/>
  <c r="O595" i="1" s="1"/>
  <c r="N596" i="1"/>
  <c r="N606" i="1"/>
  <c r="N607" i="1"/>
  <c r="N608" i="1"/>
  <c r="N609" i="1"/>
  <c r="N610" i="1"/>
  <c r="N611" i="1"/>
  <c r="N612" i="1"/>
  <c r="N613" i="1"/>
  <c r="O613" i="1" s="1"/>
  <c r="N614" i="1"/>
  <c r="O614" i="1" s="1"/>
  <c r="N615" i="1"/>
  <c r="N616" i="1"/>
  <c r="O616" i="1" s="1"/>
  <c r="N617" i="1"/>
  <c r="P617" i="1" s="1"/>
  <c r="N618" i="1"/>
  <c r="N619" i="1"/>
  <c r="N620" i="1"/>
  <c r="N621" i="1"/>
  <c r="N622" i="1"/>
  <c r="P622" i="1" s="1"/>
  <c r="N623" i="1"/>
  <c r="N635" i="1"/>
  <c r="N636" i="1"/>
  <c r="N637" i="1"/>
  <c r="N638" i="1"/>
  <c r="N639" i="1"/>
  <c r="N640" i="1"/>
  <c r="N641" i="1"/>
  <c r="N642" i="1"/>
  <c r="N643" i="1"/>
  <c r="N644" i="1"/>
  <c r="N645" i="1"/>
  <c r="N646" i="1"/>
  <c r="N647" i="1"/>
  <c r="N648" i="1"/>
  <c r="N649" i="1"/>
  <c r="N650" i="1"/>
  <c r="N651" i="1"/>
  <c r="N652" i="1"/>
  <c r="N653" i="1"/>
  <c r="O653" i="1" s="1"/>
  <c r="N654" i="1"/>
  <c r="O654" i="1" s="1"/>
  <c r="N655" i="1"/>
  <c r="O655" i="1" s="1"/>
  <c r="N656" i="1"/>
  <c r="O656" i="1" s="1"/>
  <c r="N657" i="1"/>
  <c r="O657" i="1" s="1"/>
  <c r="N658" i="1"/>
  <c r="O658" i="1" s="1"/>
  <c r="N659" i="1"/>
  <c r="O659" i="1" s="1"/>
  <c r="N660" i="1"/>
  <c r="O660" i="1" s="1"/>
  <c r="N661" i="1"/>
  <c r="O661" i="1" s="1"/>
  <c r="N662" i="1"/>
  <c r="O662" i="1" s="1"/>
  <c r="N663" i="1"/>
  <c r="O663" i="1" s="1"/>
  <c r="N664" i="1"/>
  <c r="O664" i="1" s="1"/>
  <c r="N665" i="1"/>
  <c r="O665" i="1" s="1"/>
  <c r="N668" i="1"/>
  <c r="O668" i="1" s="1"/>
  <c r="N669" i="1"/>
  <c r="O669" i="1" s="1"/>
  <c r="N670" i="1"/>
  <c r="O670" i="1" s="1"/>
  <c r="N671" i="1"/>
  <c r="O671" i="1" s="1"/>
  <c r="N672" i="1"/>
  <c r="N673" i="1"/>
  <c r="O673" i="1" s="1"/>
  <c r="N674" i="1"/>
  <c r="O674" i="1" s="1"/>
  <c r="N675" i="1"/>
  <c r="O675" i="1" s="1"/>
  <c r="N676" i="1"/>
  <c r="N677" i="1"/>
  <c r="N678" i="1"/>
  <c r="N679" i="1"/>
  <c r="N680" i="1"/>
  <c r="N681" i="1"/>
  <c r="N682" i="1"/>
  <c r="N683" i="1"/>
  <c r="N684" i="1"/>
  <c r="N685" i="1"/>
  <c r="N686" i="1"/>
  <c r="O686" i="1" s="1"/>
  <c r="N687" i="1"/>
  <c r="O687" i="1" s="1"/>
  <c r="N688" i="1"/>
  <c r="O688" i="1" s="1"/>
  <c r="N689" i="1"/>
  <c r="N690" i="1"/>
  <c r="O690" i="1" s="1"/>
  <c r="N691" i="1"/>
  <c r="O691" i="1" s="1"/>
  <c r="N692" i="1"/>
  <c r="N693" i="1"/>
  <c r="N694" i="1"/>
  <c r="N695" i="1"/>
  <c r="O695" i="1" s="1"/>
  <c r="N89" i="1"/>
  <c r="N90" i="1"/>
  <c r="N91" i="1"/>
  <c r="N93" i="1"/>
  <c r="N94" i="1"/>
  <c r="O94" i="1" s="1"/>
  <c r="N95" i="1"/>
  <c r="O95" i="1" s="1"/>
  <c r="N96" i="1"/>
  <c r="O96" i="1" s="1"/>
  <c r="N97" i="1"/>
  <c r="O97" i="1" s="1"/>
  <c r="N98" i="1"/>
  <c r="N99" i="1"/>
  <c r="N100" i="1"/>
  <c r="O100" i="1" s="1"/>
  <c r="N101" i="1"/>
  <c r="O101" i="1" s="1"/>
  <c r="N102" i="1"/>
  <c r="N103" i="1"/>
  <c r="N104" i="1"/>
  <c r="O104" i="1" s="1"/>
  <c r="N105" i="1"/>
  <c r="N106" i="1"/>
  <c r="O106" i="1" s="1"/>
  <c r="N107" i="1"/>
  <c r="O107" i="1" s="1"/>
  <c r="N108" i="1"/>
  <c r="O108" i="1" s="1"/>
  <c r="N109" i="1"/>
  <c r="O109" i="1" s="1"/>
  <c r="N110" i="1"/>
  <c r="O110" i="1" s="1"/>
  <c r="N111" i="1"/>
  <c r="O111" i="1" s="1"/>
  <c r="N112" i="1"/>
  <c r="N113" i="1"/>
  <c r="O113" i="1" s="1"/>
  <c r="N114" i="1"/>
  <c r="O114" i="1" s="1"/>
  <c r="N115" i="1"/>
  <c r="O115" i="1" s="1"/>
  <c r="N116" i="1"/>
  <c r="O116" i="1" s="1"/>
  <c r="N117" i="1"/>
  <c r="O117" i="1" s="1"/>
  <c r="N118" i="1"/>
  <c r="N119" i="1"/>
  <c r="N120" i="1"/>
  <c r="N121" i="1"/>
  <c r="O121" i="1" s="1"/>
  <c r="N122" i="1"/>
  <c r="N123" i="1"/>
  <c r="N124" i="1"/>
  <c r="O124" i="1" s="1"/>
  <c r="N125" i="1"/>
  <c r="N126" i="1"/>
  <c r="O126" i="1" s="1"/>
  <c r="N135" i="1"/>
  <c r="N136" i="1"/>
  <c r="N137" i="1"/>
  <c r="N138" i="1"/>
  <c r="N139" i="1"/>
  <c r="N140" i="1"/>
  <c r="N141" i="1"/>
  <c r="O141" i="1" s="1"/>
  <c r="N142" i="1"/>
  <c r="N143" i="1"/>
  <c r="N144" i="1"/>
  <c r="N145" i="1"/>
  <c r="N146" i="1"/>
  <c r="N147" i="1"/>
  <c r="N148" i="1"/>
  <c r="N149" i="1"/>
  <c r="N150" i="1"/>
  <c r="N151" i="1"/>
  <c r="N152" i="1"/>
  <c r="N153" i="1"/>
  <c r="N154" i="1"/>
  <c r="N155" i="1"/>
  <c r="O155" i="1" s="1"/>
  <c r="N156" i="1"/>
  <c r="N157" i="1"/>
  <c r="N158" i="1"/>
  <c r="N162" i="1"/>
  <c r="N163" i="1"/>
  <c r="O163" i="1" s="1"/>
  <c r="N164" i="1"/>
  <c r="N165" i="1"/>
  <c r="N166" i="1"/>
  <c r="N167" i="1"/>
  <c r="N168" i="1"/>
  <c r="N169" i="1"/>
  <c r="N170" i="1"/>
  <c r="N171" i="1"/>
  <c r="N172" i="1"/>
  <c r="N173" i="1"/>
  <c r="N174" i="1"/>
  <c r="N175" i="1"/>
  <c r="N176" i="1"/>
  <c r="N177" i="1"/>
  <c r="N178" i="1"/>
  <c r="N179" i="1"/>
  <c r="N180" i="1"/>
  <c r="N181" i="1"/>
  <c r="N183" i="1"/>
  <c r="N184" i="1"/>
  <c r="N185" i="1"/>
  <c r="N186" i="1"/>
  <c r="N200" i="1"/>
  <c r="O200" i="1" s="1"/>
  <c r="N201" i="1"/>
  <c r="N202" i="1"/>
  <c r="N203" i="1"/>
  <c r="N204" i="1"/>
  <c r="N205" i="1"/>
  <c r="N206" i="1"/>
  <c r="N207" i="1"/>
  <c r="N208" i="1"/>
  <c r="N209" i="1"/>
  <c r="N210" i="1"/>
  <c r="N212" i="1"/>
  <c r="N213" i="1"/>
  <c r="O213" i="1" s="1"/>
  <c r="N214" i="1"/>
  <c r="O214" i="1" s="1"/>
  <c r="N215" i="1"/>
  <c r="O215" i="1" s="1"/>
  <c r="N216" i="1"/>
  <c r="O216" i="1" s="1"/>
  <c r="N217" i="1"/>
  <c r="O217" i="1" s="1"/>
  <c r="N218" i="1"/>
  <c r="O218" i="1" s="1"/>
  <c r="N219" i="1"/>
  <c r="N220" i="1"/>
  <c r="O220" i="1" s="1"/>
  <c r="N221" i="1"/>
  <c r="O221" i="1" s="1"/>
  <c r="N222" i="1"/>
  <c r="O222" i="1" s="1"/>
  <c r="N223" i="1"/>
  <c r="N224" i="1"/>
  <c r="O224" i="1" s="1"/>
  <c r="N225" i="1"/>
  <c r="O225" i="1" s="1"/>
  <c r="N227" i="1"/>
  <c r="O227" i="1" s="1"/>
  <c r="N231" i="1"/>
  <c r="N232" i="1"/>
  <c r="N233" i="1"/>
  <c r="N234" i="1"/>
  <c r="N235" i="1"/>
  <c r="N236" i="1"/>
  <c r="N237" i="1"/>
  <c r="N238" i="1"/>
  <c r="N314" i="1"/>
  <c r="N315" i="1"/>
  <c r="N316" i="1"/>
  <c r="N317" i="1"/>
  <c r="N318" i="1"/>
  <c r="N319" i="1"/>
  <c r="N320" i="1"/>
  <c r="N321" i="1"/>
  <c r="N322" i="1"/>
  <c r="N323" i="1"/>
  <c r="O323" i="1" s="1"/>
  <c r="N324" i="1"/>
  <c r="O324" i="1" s="1"/>
  <c r="N325" i="1"/>
  <c r="O325" i="1" s="1"/>
  <c r="N326" i="1"/>
  <c r="O326" i="1" s="1"/>
  <c r="N327" i="1"/>
  <c r="O327" i="1" s="1"/>
  <c r="N328" i="1"/>
  <c r="O328" i="1" s="1"/>
  <c r="N329" i="1"/>
  <c r="O329" i="1" s="1"/>
  <c r="N330" i="1"/>
  <c r="O330" i="1" s="1"/>
  <c r="N331" i="1"/>
  <c r="O331" i="1" s="1"/>
  <c r="N332" i="1"/>
  <c r="O332" i="1" s="1"/>
  <c r="N333" i="1"/>
  <c r="O333" i="1" s="1"/>
  <c r="N334" i="1"/>
  <c r="O334" i="1" s="1"/>
  <c r="N34" i="1"/>
  <c r="O34" i="1" s="1"/>
  <c r="N35" i="1"/>
  <c r="N36" i="1"/>
  <c r="O36" i="1" s="1"/>
  <c r="N37" i="1"/>
  <c r="N38" i="1"/>
  <c r="N39" i="1"/>
  <c r="N40" i="1"/>
  <c r="N41" i="1"/>
  <c r="N42" i="1"/>
  <c r="N43" i="1"/>
  <c r="N44" i="1"/>
  <c r="N45" i="1"/>
  <c r="N46" i="1"/>
  <c r="N47" i="1"/>
  <c r="N48" i="1"/>
  <c r="N49" i="1"/>
  <c r="N50" i="1"/>
  <c r="N52" i="1"/>
  <c r="N54" i="1"/>
  <c r="N55" i="1"/>
  <c r="N56" i="1"/>
  <c r="N57" i="1"/>
  <c r="N61" i="1"/>
  <c r="N62" i="1"/>
  <c r="N63" i="1"/>
  <c r="N64" i="1"/>
  <c r="N65" i="1"/>
  <c r="N66" i="1"/>
  <c r="N67" i="1"/>
  <c r="N71" i="1"/>
  <c r="N72" i="1"/>
  <c r="N73" i="1"/>
  <c r="N76" i="1"/>
  <c r="N77" i="1"/>
  <c r="N81" i="1"/>
  <c r="N82" i="1"/>
  <c r="N83" i="1"/>
  <c r="N84" i="1"/>
  <c r="N5" i="1"/>
  <c r="N6" i="1"/>
  <c r="N7" i="1"/>
  <c r="N8" i="1"/>
  <c r="N9" i="1"/>
  <c r="N10" i="1"/>
  <c r="N11" i="1"/>
  <c r="N12" i="1"/>
  <c r="N13" i="1"/>
  <c r="N14" i="1"/>
  <c r="N15" i="1"/>
  <c r="N16" i="1"/>
  <c r="N19" i="1"/>
  <c r="O19" i="1" s="1"/>
  <c r="N20" i="1"/>
  <c r="O20" i="1" s="1"/>
  <c r="N21" i="1"/>
  <c r="O21" i="1" s="1"/>
  <c r="N22" i="1"/>
  <c r="O22" i="1" s="1"/>
  <c r="N23" i="1"/>
  <c r="O23" i="1" s="1"/>
  <c r="N24" i="1"/>
  <c r="N25" i="1"/>
  <c r="O25" i="1" s="1"/>
  <c r="N26" i="1"/>
  <c r="O26" i="1" s="1"/>
  <c r="N27" i="1"/>
  <c r="O27" i="1" s="1"/>
  <c r="N28" i="1"/>
  <c r="N29" i="1"/>
  <c r="N30" i="1"/>
  <c r="N31" i="1"/>
  <c r="N32" i="1"/>
  <c r="N33" i="1"/>
  <c r="N2" i="1"/>
  <c r="D46" i="44"/>
  <c r="E46" i="44" s="1"/>
  <c r="D46" i="43"/>
  <c r="Q225" i="1"/>
  <c r="R225" i="1" s="1"/>
  <c r="Q135" i="1"/>
  <c r="R135" i="1" s="1"/>
  <c r="F14" i="56"/>
  <c r="G14" i="56" s="1"/>
  <c r="F13" i="56"/>
  <c r="G13" i="56" s="1"/>
  <c r="G9" i="56"/>
  <c r="F10" i="56"/>
  <c r="G10" i="56" s="1"/>
  <c r="G12" i="56"/>
  <c r="F11" i="56"/>
  <c r="G11" i="56" s="1"/>
  <c r="F15" i="56"/>
  <c r="G15" i="56" s="1"/>
  <c r="F23" i="56"/>
  <c r="F17" i="56"/>
  <c r="G17" i="56" s="1"/>
  <c r="G16" i="56"/>
  <c r="G24" i="56"/>
  <c r="F18" i="56"/>
  <c r="G18" i="56" s="1"/>
  <c r="F19" i="56"/>
  <c r="G19" i="56" s="1"/>
  <c r="F20" i="56"/>
  <c r="G20" i="56" s="1"/>
  <c r="F21" i="56"/>
  <c r="G21" i="56" s="1"/>
  <c r="F22" i="56"/>
  <c r="G22" i="56" s="1"/>
  <c r="F8" i="56"/>
  <c r="K3" i="1"/>
  <c r="K7" i="1"/>
  <c r="K8" i="1"/>
  <c r="K9" i="1"/>
  <c r="K10" i="1"/>
  <c r="K11" i="1"/>
  <c r="K12" i="1"/>
  <c r="D26" i="55"/>
  <c r="D37" i="55"/>
  <c r="D38" i="55"/>
  <c r="D39" i="55"/>
  <c r="D40" i="55"/>
  <c r="D41" i="55"/>
  <c r="D30" i="55"/>
  <c r="D42" i="55"/>
  <c r="D43" i="55"/>
  <c r="D44" i="55"/>
  <c r="D8" i="55"/>
  <c r="Q586" i="1"/>
  <c r="R586" i="1" s="1"/>
  <c r="Q585" i="1"/>
  <c r="R585" i="1" s="1"/>
  <c r="G582" i="1"/>
  <c r="O32" i="1" l="1"/>
  <c r="P32" i="1"/>
  <c r="O31" i="1"/>
  <c r="P31" i="1"/>
  <c r="O30" i="1"/>
  <c r="P30" i="1"/>
  <c r="O29" i="1"/>
  <c r="P29" i="1"/>
  <c r="O15" i="1"/>
  <c r="P15" i="1"/>
  <c r="O12" i="1"/>
  <c r="P12" i="1"/>
  <c r="O81" i="1"/>
  <c r="P81" i="1"/>
  <c r="O76" i="1"/>
  <c r="P76" i="1"/>
  <c r="O72" i="1"/>
  <c r="P72" i="1"/>
  <c r="O71" i="1"/>
  <c r="P71" i="1"/>
  <c r="O66" i="1"/>
  <c r="P66" i="1"/>
  <c r="O65" i="1"/>
  <c r="P65" i="1"/>
  <c r="O64" i="1"/>
  <c r="P64" i="1"/>
  <c r="O63" i="1"/>
  <c r="P63" i="1"/>
  <c r="O49" i="1"/>
  <c r="P49" i="1"/>
  <c r="O48" i="1"/>
  <c r="P48" i="1"/>
  <c r="O43" i="1"/>
  <c r="P43" i="1"/>
  <c r="O42" i="1"/>
  <c r="P42" i="1"/>
  <c r="O41" i="1"/>
  <c r="P41" i="1"/>
  <c r="O40" i="1"/>
  <c r="P40" i="1"/>
  <c r="O322" i="1"/>
  <c r="P322" i="1"/>
  <c r="O321" i="1"/>
  <c r="P321" i="1"/>
  <c r="O320" i="1"/>
  <c r="P320" i="1"/>
  <c r="O236" i="1"/>
  <c r="P236" i="1"/>
  <c r="O235" i="1"/>
  <c r="P235" i="1"/>
  <c r="O207" i="1"/>
  <c r="P207" i="1"/>
  <c r="O206" i="1"/>
  <c r="P206" i="1"/>
  <c r="O205" i="1"/>
  <c r="P205" i="1"/>
  <c r="O204" i="1"/>
  <c r="P204" i="1"/>
  <c r="O203" i="1"/>
  <c r="P203" i="1"/>
  <c r="O202" i="1"/>
  <c r="P202" i="1"/>
  <c r="O201" i="1"/>
  <c r="P201" i="1"/>
  <c r="O154" i="1"/>
  <c r="P154" i="1"/>
  <c r="O153" i="1"/>
  <c r="P153" i="1"/>
  <c r="O151" i="1"/>
  <c r="P151" i="1"/>
  <c r="O150" i="1"/>
  <c r="P150" i="1"/>
  <c r="O143" i="1"/>
  <c r="P143" i="1"/>
  <c r="O142" i="1"/>
  <c r="P142" i="1"/>
  <c r="O112" i="1"/>
  <c r="P112" i="1"/>
  <c r="O623" i="1"/>
  <c r="P623" i="1"/>
  <c r="O611" i="1"/>
  <c r="P611" i="1"/>
  <c r="O610" i="1"/>
  <c r="P610" i="1"/>
  <c r="O581" i="1"/>
  <c r="P581" i="1"/>
  <c r="O579" i="1"/>
  <c r="P579" i="1"/>
  <c r="O578" i="1"/>
  <c r="P578" i="1"/>
  <c r="O577" i="1"/>
  <c r="P577" i="1"/>
  <c r="O576" i="1"/>
  <c r="P576" i="1"/>
  <c r="O568" i="1"/>
  <c r="P568" i="1"/>
  <c r="O567" i="1"/>
  <c r="P567" i="1"/>
  <c r="O566" i="1"/>
  <c r="P566" i="1"/>
  <c r="O563" i="1"/>
  <c r="P563" i="1"/>
  <c r="O562" i="1"/>
  <c r="P562" i="1"/>
  <c r="O532" i="1"/>
  <c r="P532" i="1"/>
  <c r="O531" i="1"/>
  <c r="P531" i="1"/>
  <c r="O472" i="1"/>
  <c r="P472" i="1"/>
  <c r="O469" i="1"/>
  <c r="P469" i="1"/>
  <c r="O466" i="1"/>
  <c r="P466" i="1"/>
  <c r="O465" i="1"/>
  <c r="P465" i="1"/>
  <c r="O464" i="1"/>
  <c r="P464" i="1"/>
  <c r="O463" i="1"/>
  <c r="P463" i="1"/>
  <c r="O462" i="1"/>
  <c r="P462" i="1"/>
  <c r="O461" i="1"/>
  <c r="P461" i="1"/>
  <c r="O460" i="1"/>
  <c r="P460" i="1"/>
  <c r="O458" i="1"/>
  <c r="P458" i="1"/>
  <c r="O457" i="1"/>
  <c r="P457" i="1"/>
  <c r="O448" i="1"/>
  <c r="P448" i="1"/>
  <c r="O447" i="1"/>
  <c r="P447" i="1"/>
  <c r="O446" i="1"/>
  <c r="P446" i="1"/>
  <c r="O410" i="1"/>
  <c r="P410" i="1"/>
  <c r="O409" i="1"/>
  <c r="P409" i="1"/>
  <c r="O401" i="1"/>
  <c r="P401" i="1"/>
  <c r="S434" i="1"/>
  <c r="O434" i="1"/>
  <c r="C45" i="32"/>
  <c r="C45" i="8"/>
  <c r="C46" i="38"/>
  <c r="E46" i="38" s="1"/>
  <c r="C47" i="38"/>
  <c r="E47" i="38" s="1"/>
  <c r="C47" i="32"/>
  <c r="C47" i="8"/>
  <c r="C45" i="38"/>
  <c r="E45" i="38" s="1"/>
  <c r="C44" i="32"/>
  <c r="C44" i="8"/>
  <c r="G8" i="56"/>
  <c r="G23" i="56"/>
  <c r="M658" i="1"/>
  <c r="M672" i="1"/>
  <c r="M677" i="1"/>
  <c r="M678" i="1"/>
  <c r="M679" i="1"/>
  <c r="M680" i="1"/>
  <c r="M681" i="1"/>
  <c r="M682" i="1"/>
  <c r="M683" i="1"/>
  <c r="M684" i="1"/>
  <c r="M676" i="1"/>
  <c r="M654" i="1"/>
  <c r="M655" i="1"/>
  <c r="M656" i="1"/>
  <c r="M659" i="1"/>
  <c r="M660" i="1"/>
  <c r="M661" i="1"/>
  <c r="M662" i="1"/>
  <c r="M663" i="1"/>
  <c r="M664" i="1"/>
  <c r="M665" i="1"/>
  <c r="M653" i="1"/>
  <c r="M619" i="1"/>
  <c r="M620" i="1"/>
  <c r="M621" i="1"/>
  <c r="M618" i="1"/>
  <c r="M615" i="1"/>
  <c r="M616" i="1"/>
  <c r="P616" i="1" s="1"/>
  <c r="M614" i="1"/>
  <c r="P614" i="1" s="1"/>
  <c r="M164" i="1"/>
  <c r="M165" i="1"/>
  <c r="M166" i="1"/>
  <c r="M167" i="1"/>
  <c r="M168" i="1"/>
  <c r="M169" i="1"/>
  <c r="M170" i="1"/>
  <c r="M171" i="1"/>
  <c r="M172" i="1"/>
  <c r="M173" i="1"/>
  <c r="M174" i="1"/>
  <c r="M175" i="1"/>
  <c r="M176" i="1"/>
  <c r="M177" i="1"/>
  <c r="M178" i="1"/>
  <c r="M179" i="1"/>
  <c r="M180" i="1"/>
  <c r="M181" i="1"/>
  <c r="M183" i="1"/>
  <c r="M163" i="1"/>
  <c r="P163" i="1" s="1"/>
  <c r="Q142" i="1"/>
  <c r="R142" i="1" s="1"/>
  <c r="Q400" i="1"/>
  <c r="F22" i="59" s="1"/>
  <c r="Q496" i="1"/>
  <c r="R496" i="1" s="1"/>
  <c r="F3" i="52"/>
  <c r="F4" i="52"/>
  <c r="F5" i="52"/>
  <c r="F6" i="52"/>
  <c r="F7" i="52"/>
  <c r="F8" i="52"/>
  <c r="F9" i="52"/>
  <c r="F10" i="52"/>
  <c r="F11" i="52"/>
  <c r="F12" i="52"/>
  <c r="F13" i="52"/>
  <c r="F15" i="52"/>
  <c r="F16" i="52"/>
  <c r="F17" i="52"/>
  <c r="F18" i="52"/>
  <c r="F19" i="52"/>
  <c r="F20" i="52"/>
  <c r="F21" i="52"/>
  <c r="F22" i="52"/>
  <c r="F23" i="52"/>
  <c r="F24" i="52"/>
  <c r="F26" i="52"/>
  <c r="F27" i="52"/>
  <c r="F28" i="52"/>
  <c r="F29" i="52"/>
  <c r="F30" i="52"/>
  <c r="F31" i="52"/>
  <c r="F32" i="52"/>
  <c r="F33" i="52"/>
  <c r="F34" i="52"/>
  <c r="F36" i="52"/>
  <c r="F37" i="52"/>
  <c r="F40" i="52"/>
  <c r="E3" i="52"/>
  <c r="E4" i="52"/>
  <c r="E5" i="52"/>
  <c r="E6" i="52"/>
  <c r="E7" i="52"/>
  <c r="E8" i="52"/>
  <c r="E9" i="52"/>
  <c r="E10" i="52"/>
  <c r="E11" i="52"/>
  <c r="E12" i="52"/>
  <c r="E13" i="52"/>
  <c r="E14" i="52"/>
  <c r="E15" i="52"/>
  <c r="E16" i="52"/>
  <c r="E17" i="52"/>
  <c r="E18" i="52"/>
  <c r="E19" i="52"/>
  <c r="E20" i="52"/>
  <c r="E21" i="52"/>
  <c r="E22" i="52"/>
  <c r="E23" i="52"/>
  <c r="E24" i="52"/>
  <c r="E25" i="52"/>
  <c r="E26" i="52"/>
  <c r="E27" i="52"/>
  <c r="E29" i="52"/>
  <c r="E30" i="52"/>
  <c r="E31" i="52"/>
  <c r="E32" i="52"/>
  <c r="E33" i="52"/>
  <c r="E34" i="52"/>
  <c r="E35" i="52"/>
  <c r="E36" i="52"/>
  <c r="E37" i="52"/>
  <c r="E38" i="52"/>
  <c r="E39" i="52"/>
  <c r="E40" i="52"/>
  <c r="D4" i="52"/>
  <c r="D5" i="52"/>
  <c r="D6" i="52"/>
  <c r="D7" i="52"/>
  <c r="D8" i="52"/>
  <c r="D11" i="52"/>
  <c r="D14" i="52"/>
  <c r="D16" i="52"/>
  <c r="D17" i="52"/>
  <c r="D18" i="52"/>
  <c r="D20" i="52"/>
  <c r="D23" i="52"/>
  <c r="D24" i="52"/>
  <c r="D25" i="52"/>
  <c r="D26" i="52"/>
  <c r="D30" i="52"/>
  <c r="D31" i="52"/>
  <c r="D32" i="52"/>
  <c r="D34" i="52"/>
  <c r="D36" i="52"/>
  <c r="D37" i="52"/>
  <c r="F2" i="52"/>
  <c r="E2" i="52"/>
  <c r="D2" i="52"/>
  <c r="C3" i="52"/>
  <c r="C4" i="52"/>
  <c r="C5" i="52"/>
  <c r="C7" i="52"/>
  <c r="C8" i="52"/>
  <c r="C9" i="52"/>
  <c r="C10" i="52"/>
  <c r="C11" i="52"/>
  <c r="C13" i="52"/>
  <c r="C16" i="52"/>
  <c r="C17" i="52"/>
  <c r="C18" i="52"/>
  <c r="C21" i="52"/>
  <c r="C22" i="52"/>
  <c r="C23" i="52"/>
  <c r="C24" i="52"/>
  <c r="C25" i="52"/>
  <c r="C26" i="52"/>
  <c r="C27" i="52"/>
  <c r="C28" i="52"/>
  <c r="C29" i="52"/>
  <c r="C30" i="52"/>
  <c r="C31" i="52"/>
  <c r="C32" i="52"/>
  <c r="C33" i="52"/>
  <c r="C34" i="52"/>
  <c r="C35" i="52"/>
  <c r="C36" i="52"/>
  <c r="C37" i="52"/>
  <c r="C2" i="52"/>
  <c r="M777" i="1"/>
  <c r="M778" i="1"/>
  <c r="M773" i="1"/>
  <c r="M774" i="1"/>
  <c r="M776" i="1"/>
  <c r="M772" i="1"/>
  <c r="Q478" i="1"/>
  <c r="R478" i="1" s="1"/>
  <c r="Q519" i="1"/>
  <c r="R519" i="1" s="1"/>
  <c r="G30" i="59" s="1"/>
  <c r="R122" i="1"/>
  <c r="S122" i="1" s="1"/>
  <c r="M114" i="1"/>
  <c r="P114" i="1" s="1"/>
  <c r="M115" i="1"/>
  <c r="P115" i="1" s="1"/>
  <c r="M116" i="1"/>
  <c r="P116" i="1" s="1"/>
  <c r="M117" i="1"/>
  <c r="P117" i="1" s="1"/>
  <c r="M113" i="1"/>
  <c r="P113" i="1" s="1"/>
  <c r="M101" i="1"/>
  <c r="P101" i="1" s="1"/>
  <c r="M102" i="1"/>
  <c r="M103" i="1"/>
  <c r="M104" i="1"/>
  <c r="P104" i="1" s="1"/>
  <c r="M105" i="1"/>
  <c r="M106" i="1"/>
  <c r="P106" i="1" s="1"/>
  <c r="M107" i="1"/>
  <c r="P107" i="1" s="1"/>
  <c r="M108" i="1"/>
  <c r="P108" i="1" s="1"/>
  <c r="M109" i="1"/>
  <c r="P109" i="1" s="1"/>
  <c r="M110" i="1"/>
  <c r="P110" i="1" s="1"/>
  <c r="M111" i="1"/>
  <c r="P111" i="1" s="1"/>
  <c r="M100" i="1"/>
  <c r="P100" i="1" s="1"/>
  <c r="Q339" i="1"/>
  <c r="R339" i="1" s="1"/>
  <c r="E17" i="59" s="1"/>
  <c r="Q98" i="1"/>
  <c r="R98" i="1" s="1"/>
  <c r="H8" i="59" s="1"/>
  <c r="P670" i="1"/>
  <c r="G27" i="59" l="1"/>
  <c r="E29" i="59"/>
  <c r="P686" i="1"/>
  <c r="S461" i="1"/>
  <c r="S459" i="1"/>
  <c r="P697" i="1"/>
  <c r="P696" i="1"/>
  <c r="P695" i="1"/>
  <c r="P675" i="1"/>
  <c r="P674" i="1"/>
  <c r="P673" i="1"/>
  <c r="P671" i="1"/>
  <c r="P666" i="1"/>
  <c r="P657" i="1"/>
  <c r="Q525" i="1"/>
  <c r="R525" i="1" s="1"/>
  <c r="F31" i="59" s="1"/>
  <c r="P653" i="1"/>
  <c r="P665" i="1"/>
  <c r="P664" i="1"/>
  <c r="P663" i="1"/>
  <c r="P662" i="1"/>
  <c r="P661" i="1"/>
  <c r="P660" i="1"/>
  <c r="P659" i="1"/>
  <c r="P656" i="1"/>
  <c r="P655" i="1"/>
  <c r="P654" i="1"/>
  <c r="P658" i="1"/>
  <c r="J2" i="1"/>
  <c r="Q46" i="1"/>
  <c r="R46" i="1" s="1"/>
  <c r="Q50" i="1"/>
  <c r="Q40" i="1"/>
  <c r="R34" i="1"/>
  <c r="Q575" i="1"/>
  <c r="R575" i="1"/>
  <c r="Q582" i="1"/>
  <c r="R582" i="1" s="1"/>
  <c r="Q587" i="1"/>
  <c r="R587" i="1" s="1"/>
  <c r="Q784" i="1"/>
  <c r="R784" i="1" s="1"/>
  <c r="D40" i="52" s="1"/>
  <c r="Q783" i="1"/>
  <c r="R783" i="1" s="1"/>
  <c r="C40" i="52" s="1"/>
  <c r="Q782" i="1"/>
  <c r="R782" i="1" s="1"/>
  <c r="Q781" i="1"/>
  <c r="R781" i="1" s="1"/>
  <c r="Q780" i="1"/>
  <c r="R780" i="1" s="1"/>
  <c r="Q779" i="1"/>
  <c r="R779" i="1" s="1"/>
  <c r="Q778" i="1"/>
  <c r="R778" i="1" s="1"/>
  <c r="Q777" i="1"/>
  <c r="R777" i="1" s="1"/>
  <c r="D12" i="52" s="1"/>
  <c r="Q776" i="1"/>
  <c r="R776" i="1" s="1"/>
  <c r="Q774" i="1"/>
  <c r="R774" i="1" s="1"/>
  <c r="Q773" i="1"/>
  <c r="R773" i="1" s="1"/>
  <c r="Q772" i="1"/>
  <c r="R772" i="1" s="1"/>
  <c r="E21" i="53"/>
  <c r="E30" i="53"/>
  <c r="E31" i="53"/>
  <c r="E12" i="53"/>
  <c r="E32" i="53"/>
  <c r="E33" i="53"/>
  <c r="E27" i="53"/>
  <c r="E23" i="53"/>
  <c r="E34" i="53"/>
  <c r="E20" i="53"/>
  <c r="E13" i="53"/>
  <c r="E35" i="53"/>
  <c r="E36" i="53"/>
  <c r="E37" i="53"/>
  <c r="E16" i="53"/>
  <c r="E15" i="53"/>
  <c r="E24" i="53"/>
  <c r="E26" i="53"/>
  <c r="E38" i="53"/>
  <c r="E40" i="53"/>
  <c r="E22" i="53"/>
  <c r="E14" i="53"/>
  <c r="E17" i="53"/>
  <c r="E41" i="53"/>
  <c r="E42" i="53"/>
  <c r="E43" i="53"/>
  <c r="E28" i="53"/>
  <c r="E44" i="53"/>
  <c r="E45" i="53"/>
  <c r="E46" i="53"/>
  <c r="E29" i="53"/>
  <c r="F21" i="53"/>
  <c r="F30" i="53"/>
  <c r="F31" i="53"/>
  <c r="F12" i="53"/>
  <c r="F32" i="53"/>
  <c r="F33" i="53"/>
  <c r="F27" i="53"/>
  <c r="F23" i="53"/>
  <c r="F34" i="53"/>
  <c r="F20" i="53"/>
  <c r="F11" i="53"/>
  <c r="F13" i="53"/>
  <c r="F35" i="53"/>
  <c r="F36" i="53"/>
  <c r="F37" i="53"/>
  <c r="F16" i="53"/>
  <c r="F15" i="53"/>
  <c r="F24" i="53"/>
  <c r="F26" i="53"/>
  <c r="F38" i="53"/>
  <c r="F39" i="53"/>
  <c r="F19" i="53"/>
  <c r="F40" i="53"/>
  <c r="F22" i="53"/>
  <c r="F17" i="53"/>
  <c r="F41" i="53"/>
  <c r="F43" i="53"/>
  <c r="F28" i="53"/>
  <c r="F44" i="53"/>
  <c r="F18" i="53"/>
  <c r="F45" i="53"/>
  <c r="F46" i="53"/>
  <c r="F10" i="53"/>
  <c r="F9" i="53"/>
  <c r="F29" i="53"/>
  <c r="D46" i="53"/>
  <c r="D45" i="53"/>
  <c r="D44" i="53"/>
  <c r="D43" i="53"/>
  <c r="D42" i="53"/>
  <c r="D41" i="53"/>
  <c r="D40" i="53"/>
  <c r="D19" i="53"/>
  <c r="D39" i="53"/>
  <c r="D38" i="53"/>
  <c r="D15" i="53"/>
  <c r="D37" i="53"/>
  <c r="D36" i="53"/>
  <c r="D35" i="53"/>
  <c r="D11" i="53"/>
  <c r="D34" i="53"/>
  <c r="D33" i="53"/>
  <c r="D12" i="53"/>
  <c r="D31" i="53"/>
  <c r="D30" i="53"/>
  <c r="D29" i="53"/>
  <c r="C46" i="53"/>
  <c r="C18" i="53"/>
  <c r="C44" i="53"/>
  <c r="C28" i="53"/>
  <c r="C43" i="53"/>
  <c r="C42" i="53"/>
  <c r="C41" i="53"/>
  <c r="C17" i="53"/>
  <c r="C14" i="53"/>
  <c r="C40" i="53"/>
  <c r="C19" i="53"/>
  <c r="C39" i="53"/>
  <c r="C26" i="53"/>
  <c r="C24" i="53"/>
  <c r="C37" i="53"/>
  <c r="C36" i="53"/>
  <c r="C20" i="53"/>
  <c r="C34" i="53"/>
  <c r="C23" i="53"/>
  <c r="C27" i="53"/>
  <c r="C32" i="53"/>
  <c r="C31" i="53"/>
  <c r="C21" i="53"/>
  <c r="C29" i="53"/>
  <c r="E12" i="59" l="1"/>
  <c r="E3" i="60"/>
  <c r="F12" i="59"/>
  <c r="F3" i="60"/>
  <c r="G12" i="59"/>
  <c r="G3" i="60"/>
  <c r="D12" i="59"/>
  <c r="D3" i="60"/>
  <c r="J3" i="60" s="1"/>
  <c r="H11" i="60"/>
  <c r="J12" i="59"/>
  <c r="H35" i="59"/>
  <c r="C12" i="52"/>
  <c r="D8" i="53"/>
  <c r="R570" i="1"/>
  <c r="H34" i="59" s="1"/>
  <c r="Q27" i="1"/>
  <c r="R27" i="1" s="1"/>
  <c r="H3" i="59" s="1"/>
  <c r="Q506" i="1"/>
  <c r="R506" i="1" s="1"/>
  <c r="Q48" i="1"/>
  <c r="R48" i="1" s="1"/>
  <c r="Q469" i="1"/>
  <c r="G4" i="52"/>
  <c r="C8" i="53"/>
  <c r="G16" i="52"/>
  <c r="G36" i="52"/>
  <c r="G8" i="52"/>
  <c r="Q323" i="1"/>
  <c r="R323" i="1" s="1"/>
  <c r="C38" i="53"/>
  <c r="G23" i="52"/>
  <c r="C22" i="53"/>
  <c r="F8" i="53"/>
  <c r="E8" i="53"/>
  <c r="G24" i="52"/>
  <c r="E39" i="53"/>
  <c r="C33" i="53"/>
  <c r="C45" i="53"/>
  <c r="G11" i="52"/>
  <c r="G7" i="52"/>
  <c r="G31" i="52"/>
  <c r="C30" i="53"/>
  <c r="G12" i="52"/>
  <c r="C35" i="53"/>
  <c r="D32" i="53"/>
  <c r="F42" i="53"/>
  <c r="G40" i="52"/>
  <c r="G32" i="52"/>
  <c r="G34" i="52"/>
  <c r="G18" i="52"/>
  <c r="G26" i="52"/>
  <c r="G5" i="52"/>
  <c r="G17" i="52"/>
  <c r="G37" i="52"/>
  <c r="G30" i="52"/>
  <c r="G2" i="52"/>
  <c r="F5" i="59" l="1"/>
  <c r="J5" i="59" s="1"/>
  <c r="D5" i="57"/>
  <c r="G16" i="59"/>
  <c r="J16" i="59" s="1"/>
  <c r="G15" i="60"/>
  <c r="J15" i="60" s="1"/>
  <c r="F29" i="59"/>
  <c r="S48" i="1"/>
  <c r="D31" i="55" s="1"/>
  <c r="F5" i="57"/>
  <c r="R5" i="15" s="1"/>
  <c r="C5" i="57"/>
  <c r="G5" i="57" s="1"/>
  <c r="S5" i="15" s="1"/>
  <c r="R469" i="1"/>
  <c r="S469" i="1" s="1"/>
  <c r="Q141" i="1"/>
  <c r="R141" i="1" s="1"/>
  <c r="Q184" i="1"/>
  <c r="Q581" i="1"/>
  <c r="R581" i="1" s="1"/>
  <c r="R459" i="1"/>
  <c r="F13" i="60" s="1"/>
  <c r="Q183" i="1"/>
  <c r="R183" i="1" s="1"/>
  <c r="F11" i="59" s="1"/>
  <c r="Q17" i="1"/>
  <c r="R17" i="1" s="1"/>
  <c r="Q510" i="1"/>
  <c r="Q355" i="1"/>
  <c r="R355" i="1" s="1"/>
  <c r="G18" i="59" s="1"/>
  <c r="Q342" i="1"/>
  <c r="Q770" i="1"/>
  <c r="R770" i="1" s="1"/>
  <c r="Q769" i="1"/>
  <c r="R769" i="1" s="1"/>
  <c r="Q768" i="1"/>
  <c r="Q765" i="1"/>
  <c r="R765" i="1" s="1"/>
  <c r="Q641" i="1"/>
  <c r="R641" i="1" s="1"/>
  <c r="Q365" i="1"/>
  <c r="R365" i="1" s="1"/>
  <c r="Q364" i="1"/>
  <c r="R364" i="1" s="1"/>
  <c r="Q357" i="1"/>
  <c r="Q315" i="1"/>
  <c r="Q242" i="1"/>
  <c r="R242" i="1" s="1"/>
  <c r="Q241" i="1"/>
  <c r="R241" i="1" s="1"/>
  <c r="Q227" i="1"/>
  <c r="R227" i="1" s="1"/>
  <c r="R184" i="1"/>
  <c r="Q574" i="1"/>
  <c r="R574" i="1" s="1"/>
  <c r="Q573" i="1"/>
  <c r="R573" i="1" s="1"/>
  <c r="Q560" i="1"/>
  <c r="R560" i="1" s="1"/>
  <c r="Q444" i="1"/>
  <c r="R444" i="1" s="1"/>
  <c r="Q443" i="1"/>
  <c r="R443" i="1" s="1"/>
  <c r="G25" i="59" s="1"/>
  <c r="Q416" i="1"/>
  <c r="R416" i="1" s="1"/>
  <c r="G23" i="59" s="1"/>
  <c r="Q414" i="1"/>
  <c r="R414" i="1" s="1"/>
  <c r="Q401" i="1"/>
  <c r="R401" i="1" s="1"/>
  <c r="Q389" i="1"/>
  <c r="R389" i="1" s="1"/>
  <c r="Q385" i="1"/>
  <c r="R385" i="1" s="1"/>
  <c r="Q373" i="1"/>
  <c r="R373" i="1" s="1"/>
  <c r="Q186" i="1"/>
  <c r="R186" i="1" s="1"/>
  <c r="Q150" i="1"/>
  <c r="R150" i="1" s="1"/>
  <c r="F10" i="59" s="1"/>
  <c r="Q57" i="1"/>
  <c r="R57" i="1" s="1"/>
  <c r="Q52" i="1"/>
  <c r="R52" i="1" s="1"/>
  <c r="G20" i="59" l="1"/>
  <c r="G9" i="60"/>
  <c r="G35" i="59"/>
  <c r="G11" i="60"/>
  <c r="F27" i="59"/>
  <c r="F14" i="60"/>
  <c r="E35" i="59"/>
  <c r="E11" i="60"/>
  <c r="H9" i="59"/>
  <c r="H12" i="60"/>
  <c r="H39" i="59"/>
  <c r="H2" i="60"/>
  <c r="S17" i="1"/>
  <c r="G2" i="59"/>
  <c r="H46" i="59"/>
  <c r="H47" i="59" s="1"/>
  <c r="S389" i="1"/>
  <c r="D16" i="55" s="1"/>
  <c r="D21" i="57"/>
  <c r="F21" i="57" s="1"/>
  <c r="R21" i="15" s="1"/>
  <c r="C21" i="57"/>
  <c r="G21" i="57" s="1"/>
  <c r="S21" i="15" s="1"/>
  <c r="D17" i="55"/>
  <c r="D10" i="57"/>
  <c r="F10" i="57" s="1"/>
  <c r="R10" i="15" s="1"/>
  <c r="C10" i="57"/>
  <c r="G10" i="57" s="1"/>
  <c r="S10" i="15" s="1"/>
  <c r="S581" i="1"/>
  <c r="R315" i="1"/>
  <c r="D15" i="52" s="1"/>
  <c r="D13" i="53" s="1"/>
  <c r="R357" i="1"/>
  <c r="R768" i="1"/>
  <c r="C39" i="52" s="1"/>
  <c r="R510" i="1"/>
  <c r="D29" i="52" s="1"/>
  <c r="Q567" i="1"/>
  <c r="R567" i="1" s="1"/>
  <c r="S567" i="1" s="1"/>
  <c r="Q359" i="1"/>
  <c r="R359" i="1" s="1"/>
  <c r="Q320" i="1"/>
  <c r="Q507" i="1"/>
  <c r="R507" i="1" s="1"/>
  <c r="D36" i="55" l="1"/>
  <c r="D29" i="57"/>
  <c r="F29" i="57" s="1"/>
  <c r="R29" i="15" s="1"/>
  <c r="C29" i="57"/>
  <c r="G29" i="57" s="1"/>
  <c r="S29" i="15" s="1"/>
  <c r="R320" i="1"/>
  <c r="D17" i="53"/>
  <c r="G29" i="52"/>
  <c r="C9" i="53"/>
  <c r="Q15" i="1"/>
  <c r="R15" i="1" s="1"/>
  <c r="S15" i="1" s="1"/>
  <c r="Q13" i="1"/>
  <c r="R13" i="1" s="1"/>
  <c r="S13" i="1" s="1"/>
  <c r="C8" i="48"/>
  <c r="E8" i="48"/>
  <c r="E9" i="48"/>
  <c r="D8" i="48"/>
  <c r="C7" i="48"/>
  <c r="D7" i="48"/>
  <c r="E32" i="48"/>
  <c r="E33" i="48"/>
  <c r="E34" i="48"/>
  <c r="E35" i="48"/>
  <c r="D32" i="48"/>
  <c r="D33" i="48"/>
  <c r="D34" i="48"/>
  <c r="D35" i="48"/>
  <c r="E31" i="48"/>
  <c r="D31" i="48"/>
  <c r="C33" i="48"/>
  <c r="E22" i="48"/>
  <c r="E25" i="48"/>
  <c r="E27" i="48"/>
  <c r="D22" i="48"/>
  <c r="C24" i="48"/>
  <c r="C25" i="48"/>
  <c r="C27" i="48"/>
  <c r="C16" i="48"/>
  <c r="C17" i="48"/>
  <c r="D8" i="44"/>
  <c r="E8" i="44" s="1"/>
  <c r="D9" i="44"/>
  <c r="E9" i="44" s="1"/>
  <c r="D10" i="44"/>
  <c r="E10" i="44" s="1"/>
  <c r="D11" i="44"/>
  <c r="E11" i="44" s="1"/>
  <c r="D12" i="44"/>
  <c r="E12" i="44" s="1"/>
  <c r="D13" i="44"/>
  <c r="E13" i="44" s="1"/>
  <c r="D14" i="44"/>
  <c r="E14" i="44" s="1"/>
  <c r="D15" i="44"/>
  <c r="E15" i="44" s="1"/>
  <c r="D16" i="44"/>
  <c r="E16" i="44" s="1"/>
  <c r="D17" i="44"/>
  <c r="E17" i="44" s="1"/>
  <c r="D18" i="44"/>
  <c r="E18" i="44" s="1"/>
  <c r="D19" i="44"/>
  <c r="E19" i="44" s="1"/>
  <c r="D20" i="44"/>
  <c r="E20" i="44" s="1"/>
  <c r="D21" i="44"/>
  <c r="E21" i="44" s="1"/>
  <c r="D22" i="44"/>
  <c r="E22" i="44" s="1"/>
  <c r="D23" i="44"/>
  <c r="E23" i="44" s="1"/>
  <c r="D24" i="44"/>
  <c r="E24" i="44" s="1"/>
  <c r="D25" i="44"/>
  <c r="E25" i="44" s="1"/>
  <c r="D26" i="44"/>
  <c r="E26" i="44" s="1"/>
  <c r="D27" i="44"/>
  <c r="E27" i="44" s="1"/>
  <c r="D28" i="44"/>
  <c r="E28" i="44" s="1"/>
  <c r="D29" i="44"/>
  <c r="E29" i="44" s="1"/>
  <c r="D30" i="44"/>
  <c r="E30" i="44" s="1"/>
  <c r="D31" i="44"/>
  <c r="E31" i="44" s="1"/>
  <c r="D32" i="44"/>
  <c r="E32" i="44" s="1"/>
  <c r="D33" i="44"/>
  <c r="E33" i="44" s="1"/>
  <c r="D34" i="44"/>
  <c r="E34" i="44" s="1"/>
  <c r="D35" i="44"/>
  <c r="E35" i="44" s="1"/>
  <c r="D36" i="44"/>
  <c r="E36" i="44" s="1"/>
  <c r="D37" i="44"/>
  <c r="E37" i="44" s="1"/>
  <c r="D38" i="44"/>
  <c r="E38" i="44" s="1"/>
  <c r="D39" i="44"/>
  <c r="E39" i="44" s="1"/>
  <c r="D40" i="44"/>
  <c r="E40" i="44" s="1"/>
  <c r="D41" i="44"/>
  <c r="E41" i="44" s="1"/>
  <c r="D42" i="44"/>
  <c r="E42" i="44" s="1"/>
  <c r="D43" i="44"/>
  <c r="E43" i="44" s="1"/>
  <c r="D44" i="44"/>
  <c r="E44" i="44" s="1"/>
  <c r="D45" i="44"/>
  <c r="E45" i="44" s="1"/>
  <c r="D7" i="44"/>
  <c r="E7" i="44" s="1"/>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16" i="37"/>
  <c r="D31" i="37"/>
  <c r="D18" i="37"/>
  <c r="D9" i="37"/>
  <c r="D17" i="37"/>
  <c r="D12" i="37"/>
  <c r="D11" i="37"/>
  <c r="D13" i="37"/>
  <c r="D19" i="37"/>
  <c r="D14" i="37"/>
  <c r="D21" i="37"/>
  <c r="D25" i="37"/>
  <c r="D24" i="37"/>
  <c r="D26" i="37"/>
  <c r="D23" i="37"/>
  <c r="D29" i="37"/>
  <c r="D15" i="37"/>
  <c r="D28" i="37"/>
  <c r="D22" i="37"/>
  <c r="D27" i="37"/>
  <c r="D30" i="37"/>
  <c r="D33" i="37"/>
  <c r="D20" i="37"/>
  <c r="D36" i="37"/>
  <c r="D34" i="37"/>
  <c r="D32" i="37"/>
  <c r="D39" i="37"/>
  <c r="D40" i="37"/>
  <c r="D35" i="37"/>
  <c r="D10" i="37"/>
  <c r="D41" i="37"/>
  <c r="D37" i="37"/>
  <c r="D38" i="37"/>
  <c r="D42" i="37"/>
  <c r="D43" i="37"/>
  <c r="D44" i="37"/>
  <c r="G10" i="39"/>
  <c r="H10" i="39" s="1"/>
  <c r="G9" i="39"/>
  <c r="H9" i="39" s="1"/>
  <c r="G11" i="39"/>
  <c r="H11" i="39" s="1"/>
  <c r="G13" i="39"/>
  <c r="H13" i="39" s="1"/>
  <c r="G12" i="39"/>
  <c r="H12" i="39" s="1"/>
  <c r="G32" i="39"/>
  <c r="H32" i="39" s="1"/>
  <c r="G37" i="39"/>
  <c r="H37" i="39" s="1"/>
  <c r="G20" i="39"/>
  <c r="H20" i="39" s="1"/>
  <c r="G15" i="39"/>
  <c r="H15" i="39" s="1"/>
  <c r="G14" i="39"/>
  <c r="H14" i="39" s="1"/>
  <c r="G17" i="39"/>
  <c r="H17" i="39" s="1"/>
  <c r="G18" i="39"/>
  <c r="H18" i="39" s="1"/>
  <c r="G34" i="39"/>
  <c r="H34" i="39" s="1"/>
  <c r="G16" i="39"/>
  <c r="H16" i="39" s="1"/>
  <c r="G22" i="39"/>
  <c r="H22" i="39" s="1"/>
  <c r="G25" i="39"/>
  <c r="H25" i="39" s="1"/>
  <c r="G19" i="39"/>
  <c r="H19" i="39" s="1"/>
  <c r="G26" i="39"/>
  <c r="H26" i="39" s="1"/>
  <c r="G24" i="39"/>
  <c r="H24" i="39" s="1"/>
  <c r="G30" i="39"/>
  <c r="H30" i="39" s="1"/>
  <c r="G29" i="39"/>
  <c r="H29" i="39" s="1"/>
  <c r="G23" i="39"/>
  <c r="H23" i="39" s="1"/>
  <c r="G35" i="39"/>
  <c r="H35" i="39" s="1"/>
  <c r="G31" i="39"/>
  <c r="H31" i="39" s="1"/>
  <c r="G27" i="39"/>
  <c r="H27" i="39" s="1"/>
  <c r="G36" i="39"/>
  <c r="H36" i="39" s="1"/>
  <c r="G33" i="39"/>
  <c r="H33" i="39" s="1"/>
  <c r="G38" i="39"/>
  <c r="H38" i="39" s="1"/>
  <c r="G39" i="39"/>
  <c r="H39" i="39" s="1"/>
  <c r="G21" i="39"/>
  <c r="H21" i="39" s="1"/>
  <c r="G28" i="39"/>
  <c r="H28" i="39" s="1"/>
  <c r="G40" i="39"/>
  <c r="H40" i="39" s="1"/>
  <c r="G42" i="39"/>
  <c r="H42" i="39" s="1"/>
  <c r="G43" i="39"/>
  <c r="H43" i="39" s="1"/>
  <c r="G41" i="39"/>
  <c r="H41" i="39" s="1"/>
  <c r="G45" i="39"/>
  <c r="H45" i="39" s="1"/>
  <c r="G8" i="39"/>
  <c r="H8" i="39" s="1"/>
  <c r="E10" i="42"/>
  <c r="E12" i="42"/>
  <c r="C31" i="55"/>
  <c r="E31" i="55" s="1"/>
  <c r="C39" i="55"/>
  <c r="C42" i="55"/>
  <c r="C38" i="55"/>
  <c r="C40" i="55"/>
  <c r="C41" i="55"/>
  <c r="C36" i="55"/>
  <c r="C43" i="55"/>
  <c r="C44" i="55"/>
  <c r="E36" i="55" l="1"/>
  <c r="F48" i="44"/>
  <c r="F47" i="44"/>
  <c r="F49" i="44"/>
  <c r="G44" i="37"/>
  <c r="F44" i="37"/>
  <c r="E44" i="37"/>
  <c r="G43" i="37"/>
  <c r="F43" i="37"/>
  <c r="E43" i="37"/>
  <c r="G42" i="37"/>
  <c r="F42" i="37"/>
  <c r="E42" i="37"/>
  <c r="G38" i="37"/>
  <c r="F38" i="37"/>
  <c r="E38" i="37"/>
  <c r="G37" i="37"/>
  <c r="F37" i="37"/>
  <c r="E37" i="37"/>
  <c r="G41" i="37"/>
  <c r="F41" i="37"/>
  <c r="E41" i="37"/>
  <c r="G10" i="37"/>
  <c r="F10" i="37"/>
  <c r="E10" i="37"/>
  <c r="G35" i="37"/>
  <c r="F35" i="37"/>
  <c r="E35" i="37"/>
  <c r="G40" i="37"/>
  <c r="F40" i="37"/>
  <c r="E40" i="37"/>
  <c r="G39" i="37"/>
  <c r="F39" i="37"/>
  <c r="E39" i="37"/>
  <c r="G32" i="37"/>
  <c r="F32" i="37"/>
  <c r="E32" i="37"/>
  <c r="G34" i="37"/>
  <c r="F34" i="37"/>
  <c r="E34" i="37"/>
  <c r="G36" i="37"/>
  <c r="F36" i="37"/>
  <c r="E36" i="37"/>
  <c r="G20" i="37"/>
  <c r="F20" i="37"/>
  <c r="E20" i="37"/>
  <c r="G33" i="37"/>
  <c r="F33" i="37"/>
  <c r="E33" i="37"/>
  <c r="G30" i="37"/>
  <c r="F30" i="37"/>
  <c r="E30" i="37"/>
  <c r="G27" i="37"/>
  <c r="F27" i="37"/>
  <c r="E27" i="37"/>
  <c r="G22" i="37"/>
  <c r="F22" i="37"/>
  <c r="E22" i="37"/>
  <c r="G28" i="37"/>
  <c r="F28" i="37"/>
  <c r="E28" i="37"/>
  <c r="G15" i="37"/>
  <c r="F15" i="37"/>
  <c r="E15" i="37"/>
  <c r="G29" i="37"/>
  <c r="F29" i="37"/>
  <c r="E29" i="37"/>
  <c r="G23" i="37"/>
  <c r="F23" i="37"/>
  <c r="E23" i="37"/>
  <c r="G26" i="37"/>
  <c r="F26" i="37"/>
  <c r="E26" i="37"/>
  <c r="G24" i="37"/>
  <c r="F24" i="37"/>
  <c r="E24" i="37"/>
  <c r="G25" i="37"/>
  <c r="F25" i="37"/>
  <c r="E25" i="37"/>
  <c r="G21" i="37"/>
  <c r="F21" i="37"/>
  <c r="E21" i="37"/>
  <c r="G14" i="37"/>
  <c r="F14" i="37"/>
  <c r="E14" i="37"/>
  <c r="G19" i="37"/>
  <c r="F19" i="37"/>
  <c r="E19" i="37"/>
  <c r="G13" i="37"/>
  <c r="F13" i="37"/>
  <c r="E13" i="37"/>
  <c r="G11" i="37"/>
  <c r="F11" i="37"/>
  <c r="E11" i="37"/>
  <c r="G12" i="37"/>
  <c r="F12" i="37"/>
  <c r="E12" i="37"/>
  <c r="G17" i="37"/>
  <c r="F17" i="37"/>
  <c r="E17" i="37"/>
  <c r="G9" i="37"/>
  <c r="F9" i="37"/>
  <c r="E9" i="37"/>
  <c r="G18" i="37"/>
  <c r="F18" i="37"/>
  <c r="E18" i="37"/>
  <c r="G31" i="37"/>
  <c r="F31" i="37"/>
  <c r="E31" i="37"/>
  <c r="G16" i="37"/>
  <c r="F16" i="37"/>
  <c r="E16" i="37"/>
  <c r="D50" i="37"/>
  <c r="G50" i="39"/>
  <c r="S320" i="1"/>
  <c r="D29" i="55" s="1"/>
  <c r="D16" i="57"/>
  <c r="F16" i="57" s="1"/>
  <c r="R16" i="15" s="1"/>
  <c r="C16" i="57"/>
  <c r="G16" i="57" s="1"/>
  <c r="S16" i="15" s="1"/>
  <c r="F38" i="44"/>
  <c r="F34" i="44"/>
  <c r="F46" i="44"/>
  <c r="H50" i="39"/>
  <c r="F33" i="48"/>
  <c r="F45" i="44"/>
  <c r="F41" i="44"/>
  <c r="D30" i="48"/>
  <c r="E30" i="48"/>
  <c r="F30" i="44"/>
  <c r="F22" i="44"/>
  <c r="F10" i="44"/>
  <c r="F40" i="44"/>
  <c r="F37" i="44"/>
  <c r="F29" i="44"/>
  <c r="F17" i="44"/>
  <c r="F9" i="44"/>
  <c r="F43" i="44"/>
  <c r="F36" i="44"/>
  <c r="F32" i="44"/>
  <c r="F28" i="44"/>
  <c r="F24" i="44"/>
  <c r="F20" i="44"/>
  <c r="F16" i="44"/>
  <c r="F12" i="44"/>
  <c r="F8" i="44"/>
  <c r="F26" i="44"/>
  <c r="F18" i="44"/>
  <c r="F14" i="44"/>
  <c r="F44" i="44"/>
  <c r="F33" i="44"/>
  <c r="F25" i="44"/>
  <c r="F21" i="44"/>
  <c r="F13" i="44"/>
  <c r="F7" i="44"/>
  <c r="F42" i="44"/>
  <c r="F39" i="44"/>
  <c r="F35" i="44"/>
  <c r="F31" i="44"/>
  <c r="F27" i="44"/>
  <c r="F23" i="44"/>
  <c r="F19" i="44"/>
  <c r="F15" i="44"/>
  <c r="F11" i="44"/>
  <c r="D23" i="15"/>
  <c r="D20" i="15"/>
  <c r="D16" i="15"/>
  <c r="D5" i="15"/>
  <c r="E37" i="15"/>
  <c r="E36" i="15"/>
  <c r="E29" i="15"/>
  <c r="E24" i="15"/>
  <c r="E20" i="15"/>
  <c r="E18" i="15"/>
  <c r="E17" i="15"/>
  <c r="E8" i="15"/>
  <c r="E5" i="15"/>
  <c r="C37" i="15"/>
  <c r="C27" i="39" s="1"/>
  <c r="C36" i="15"/>
  <c r="C34" i="15"/>
  <c r="C23" i="39" s="1"/>
  <c r="C33" i="15"/>
  <c r="C42" i="39" s="1"/>
  <c r="C32" i="15"/>
  <c r="C30" i="15"/>
  <c r="C40" i="39" s="1"/>
  <c r="C29" i="15"/>
  <c r="C21" i="39" s="1"/>
  <c r="C26" i="15"/>
  <c r="C24" i="15"/>
  <c r="C23" i="15"/>
  <c r="C38" i="39" s="1"/>
  <c r="C18" i="15"/>
  <c r="C17" i="15"/>
  <c r="C37" i="39" s="1"/>
  <c r="C16" i="15"/>
  <c r="C11" i="15"/>
  <c r="C22" i="39" s="1"/>
  <c r="C9" i="15"/>
  <c r="C14" i="39" s="1"/>
  <c r="C8" i="15"/>
  <c r="C7" i="15"/>
  <c r="C39" i="39" s="1"/>
  <c r="C5" i="15"/>
  <c r="C34" i="39" s="1"/>
  <c r="C4" i="15"/>
  <c r="C2" i="15"/>
  <c r="C34" i="41"/>
  <c r="D46" i="41" s="1"/>
  <c r="H3" i="15"/>
  <c r="I3" i="15" s="1"/>
  <c r="F50" i="37" l="1"/>
  <c r="G50" i="37"/>
  <c r="E50" i="37"/>
  <c r="E19" i="42"/>
  <c r="D32" i="38" s="1"/>
  <c r="E32" i="10"/>
  <c r="E36" i="39"/>
  <c r="D40" i="36"/>
  <c r="E40" i="36"/>
  <c r="C44" i="10"/>
  <c r="C41" i="39"/>
  <c r="C23" i="10"/>
  <c r="C28" i="39"/>
  <c r="C47" i="10"/>
  <c r="C45" i="39"/>
  <c r="C26" i="10"/>
  <c r="C20" i="39"/>
  <c r="E36" i="10"/>
  <c r="E37" i="39"/>
  <c r="D39" i="36"/>
  <c r="E39" i="36"/>
  <c r="E21" i="10"/>
  <c r="D32" i="36"/>
  <c r="E21" i="39"/>
  <c r="E32" i="36"/>
  <c r="E48" i="10"/>
  <c r="D44" i="36"/>
  <c r="E27" i="39"/>
  <c r="E44" i="36"/>
  <c r="D23" i="10"/>
  <c r="D28" i="39"/>
  <c r="C27" i="10"/>
  <c r="C26" i="39"/>
  <c r="C33" i="10"/>
  <c r="C33" i="39"/>
  <c r="E43" i="10"/>
  <c r="D34" i="36"/>
  <c r="E34" i="36"/>
  <c r="E34" i="39"/>
  <c r="D15" i="10"/>
  <c r="D16" i="39"/>
  <c r="D43" i="10"/>
  <c r="D34" i="39"/>
  <c r="C25" i="10"/>
  <c r="C30" i="39"/>
  <c r="C32" i="10"/>
  <c r="C36" i="39"/>
  <c r="C39" i="10"/>
  <c r="C43" i="39"/>
  <c r="E44" i="10"/>
  <c r="E41" i="39"/>
  <c r="E42" i="36"/>
  <c r="D42" i="36"/>
  <c r="E15" i="10"/>
  <c r="E38" i="36"/>
  <c r="E16" i="39"/>
  <c r="D38" i="36"/>
  <c r="E47" i="10"/>
  <c r="E43" i="36"/>
  <c r="D43" i="36"/>
  <c r="E45" i="39"/>
  <c r="E33" i="10"/>
  <c r="E33" i="39"/>
  <c r="E41" i="36"/>
  <c r="D41" i="36"/>
  <c r="D35" i="10"/>
  <c r="D38" i="39"/>
  <c r="C38" i="10"/>
  <c r="C35" i="10"/>
  <c r="C18" i="10"/>
  <c r="C36" i="10"/>
  <c r="C42" i="10"/>
  <c r="C22" i="10"/>
  <c r="F5" i="15"/>
  <c r="C43" i="10"/>
  <c r="C21" i="10"/>
  <c r="C48" i="10"/>
  <c r="C37" i="10"/>
  <c r="C31" i="10"/>
  <c r="D8" i="41"/>
  <c r="D38" i="41"/>
  <c r="D30" i="41"/>
  <c r="D22" i="41"/>
  <c r="D45" i="41"/>
  <c r="D14" i="41"/>
  <c r="D7" i="41"/>
  <c r="D39" i="41"/>
  <c r="D31" i="41"/>
  <c r="D23" i="41"/>
  <c r="D15" i="41"/>
  <c r="D42" i="41"/>
  <c r="D35" i="41"/>
  <c r="D27" i="41"/>
  <c r="D19" i="41"/>
  <c r="D11" i="41"/>
  <c r="D41" i="41"/>
  <c r="D34" i="41"/>
  <c r="D26" i="41"/>
  <c r="D18" i="41"/>
  <c r="D10" i="41"/>
  <c r="D44" i="41"/>
  <c r="D40" i="41"/>
  <c r="D37" i="41"/>
  <c r="D33" i="41"/>
  <c r="D29" i="41"/>
  <c r="D25" i="41"/>
  <c r="D21" i="41"/>
  <c r="D17" i="41"/>
  <c r="D13" i="41"/>
  <c r="D9" i="41"/>
  <c r="D43" i="41"/>
  <c r="D36" i="41"/>
  <c r="D32" i="41"/>
  <c r="D28" i="41"/>
  <c r="D24" i="41"/>
  <c r="D20" i="41"/>
  <c r="D16" i="41"/>
  <c r="D12" i="41"/>
  <c r="L590" i="1"/>
  <c r="O590" i="1" s="1"/>
  <c r="F43" i="10" l="1"/>
  <c r="F34" i="39"/>
  <c r="C36" i="12"/>
  <c r="Q650" i="1" l="1"/>
  <c r="R650" i="1" s="1"/>
  <c r="Q649" i="1"/>
  <c r="R649" i="1" s="1"/>
  <c r="Q648" i="1"/>
  <c r="R648" i="1" s="1"/>
  <c r="Q640" i="1"/>
  <c r="R640" i="1" s="1"/>
  <c r="Q639" i="1"/>
  <c r="Q642" i="1"/>
  <c r="R642" i="1" s="1"/>
  <c r="Q637" i="1"/>
  <c r="R637" i="1" s="1"/>
  <c r="R20" i="5"/>
  <c r="S20" i="5" s="1"/>
  <c r="R18" i="5"/>
  <c r="S18" i="5" s="1"/>
  <c r="R19" i="5"/>
  <c r="S19" i="5" s="1"/>
  <c r="R12" i="5"/>
  <c r="S12" i="5" s="1"/>
  <c r="R8" i="5"/>
  <c r="S8" i="5" s="1"/>
  <c r="R9" i="5"/>
  <c r="S9" i="5" s="1"/>
  <c r="R7" i="5"/>
  <c r="S7" i="5" s="1"/>
  <c r="R6" i="5"/>
  <c r="S6" i="5" s="1"/>
  <c r="R4" i="5"/>
  <c r="S4" i="5" s="1"/>
  <c r="R3" i="5"/>
  <c r="S3" i="5" s="1"/>
  <c r="R2" i="5"/>
  <c r="S2" i="5" s="1"/>
  <c r="C32" i="48" s="1"/>
  <c r="F32" i="48" s="1"/>
  <c r="G6" i="60"/>
  <c r="Q149" i="1"/>
  <c r="R149" i="1" s="1"/>
  <c r="C31" i="15"/>
  <c r="R526" i="1"/>
  <c r="G31" i="59" s="1"/>
  <c r="Q497" i="1"/>
  <c r="R497" i="1" s="1"/>
  <c r="Q341" i="1"/>
  <c r="R341" i="1" s="1"/>
  <c r="G17" i="59" s="1"/>
  <c r="Q91" i="1"/>
  <c r="R91" i="1" s="1"/>
  <c r="G7" i="59" s="1"/>
  <c r="Q39" i="1"/>
  <c r="R39" i="1" s="1"/>
  <c r="Q589" i="1"/>
  <c r="R589" i="1" s="1"/>
  <c r="E36" i="59" s="1"/>
  <c r="J36" i="59" s="1"/>
  <c r="Q515" i="1"/>
  <c r="R515" i="1" s="1"/>
  <c r="Q514" i="1"/>
  <c r="R514" i="1" s="1"/>
  <c r="E30" i="59" s="1"/>
  <c r="Q512" i="1"/>
  <c r="R512" i="1" s="1"/>
  <c r="F30" i="59" s="1"/>
  <c r="Q511" i="1"/>
  <c r="R511" i="1" s="1"/>
  <c r="D30" i="59" s="1"/>
  <c r="J30" i="59" s="1"/>
  <c r="Q455" i="1"/>
  <c r="D26" i="59" s="1"/>
  <c r="Q451" i="1"/>
  <c r="R451" i="1" s="1"/>
  <c r="Q450" i="1"/>
  <c r="R450" i="1" s="1"/>
  <c r="F26" i="59" s="1"/>
  <c r="Q449" i="1"/>
  <c r="R449" i="1" s="1"/>
  <c r="Q468" i="1"/>
  <c r="R468" i="1" s="1"/>
  <c r="Q477" i="1"/>
  <c r="Q475" i="1"/>
  <c r="R475" i="1" s="1"/>
  <c r="Q474" i="1"/>
  <c r="R474" i="1" s="1"/>
  <c r="Q458" i="1"/>
  <c r="R458" i="1" s="1"/>
  <c r="Q457" i="1"/>
  <c r="R457" i="1" s="1"/>
  <c r="D13" i="60" s="1"/>
  <c r="Q12" i="1"/>
  <c r="R12" i="1" s="1"/>
  <c r="Q7" i="1"/>
  <c r="R7" i="1" s="1"/>
  <c r="Q6" i="1"/>
  <c r="R6" i="1" s="1"/>
  <c r="Q5" i="1"/>
  <c r="R5" i="1" s="1"/>
  <c r="Q2" i="1"/>
  <c r="R2" i="1" s="1"/>
  <c r="Q644" i="1"/>
  <c r="R644" i="1" s="1"/>
  <c r="Q609" i="1"/>
  <c r="R609" i="1" s="1"/>
  <c r="Q608" i="1"/>
  <c r="R608" i="1" s="1"/>
  <c r="Q607" i="1"/>
  <c r="R607" i="1" s="1"/>
  <c r="Q606" i="1"/>
  <c r="R606" i="1" s="1"/>
  <c r="Q548" i="1"/>
  <c r="R548" i="1" s="1"/>
  <c r="Q545" i="1"/>
  <c r="Q480" i="1"/>
  <c r="R480" i="1" s="1"/>
  <c r="Q479" i="1"/>
  <c r="R479" i="1" s="1"/>
  <c r="Q372" i="1"/>
  <c r="Q314" i="1"/>
  <c r="Q244" i="1"/>
  <c r="Q243" i="1"/>
  <c r="R243" i="1" s="1"/>
  <c r="Q234" i="1"/>
  <c r="R234" i="1" s="1"/>
  <c r="Q233" i="1"/>
  <c r="R233" i="1" s="1"/>
  <c r="Q232" i="1"/>
  <c r="Q235" i="1"/>
  <c r="R235" i="1" s="1"/>
  <c r="S235" i="1" s="1"/>
  <c r="Q231" i="1"/>
  <c r="Q185" i="1"/>
  <c r="R185" i="1" s="1"/>
  <c r="G11" i="59" s="1"/>
  <c r="J11" i="59" s="1"/>
  <c r="Q163" i="1"/>
  <c r="R163" i="1" s="1"/>
  <c r="Q140" i="1"/>
  <c r="R140" i="1" s="1"/>
  <c r="Q139" i="1"/>
  <c r="R139" i="1" s="1"/>
  <c r="F12" i="60" s="1"/>
  <c r="Q409" i="1"/>
  <c r="Q201" i="1"/>
  <c r="R201" i="1" s="1"/>
  <c r="D13" i="59" s="1"/>
  <c r="Q212" i="1"/>
  <c r="Q407" i="1"/>
  <c r="R407" i="1" s="1"/>
  <c r="G22" i="59" s="1"/>
  <c r="Q434" i="1"/>
  <c r="R434" i="1" s="1"/>
  <c r="F25" i="59" s="1"/>
  <c r="Q28" i="1"/>
  <c r="I37" i="15"/>
  <c r="G27" i="48" s="1"/>
  <c r="I36" i="15"/>
  <c r="G25" i="48" s="1"/>
  <c r="I27" i="15"/>
  <c r="G23" i="48" s="1"/>
  <c r="I2" i="15"/>
  <c r="G16" i="48" s="1"/>
  <c r="I26" i="15"/>
  <c r="G17" i="48" s="1"/>
  <c r="I30" i="15"/>
  <c r="G24" i="48" s="1"/>
  <c r="I5" i="15"/>
  <c r="E15" i="42" s="1"/>
  <c r="C9" i="48"/>
  <c r="Q408" i="1"/>
  <c r="Q354" i="1"/>
  <c r="R354" i="1" s="1"/>
  <c r="F18" i="59" s="1"/>
  <c r="Q384" i="1"/>
  <c r="R384" i="1" s="1"/>
  <c r="I38" i="15"/>
  <c r="G14" i="48" s="1"/>
  <c r="I14" i="15"/>
  <c r="E20" i="42" s="1"/>
  <c r="D26" i="38" s="1"/>
  <c r="I19" i="15"/>
  <c r="E16" i="42" s="1"/>
  <c r="D34" i="38" s="1"/>
  <c r="I23" i="15"/>
  <c r="E41" i="42" s="1"/>
  <c r="D25" i="38" s="1"/>
  <c r="I35" i="15"/>
  <c r="E24" i="42" s="1"/>
  <c r="D27" i="38" s="1"/>
  <c r="I11" i="15"/>
  <c r="E22" i="42" s="1"/>
  <c r="D8" i="38" s="1"/>
  <c r="I21" i="15"/>
  <c r="E28" i="42" s="1"/>
  <c r="D9" i="38" s="1"/>
  <c r="I32" i="15"/>
  <c r="E11" i="42" s="1"/>
  <c r="D13" i="38" s="1"/>
  <c r="I10" i="15"/>
  <c r="E26" i="42" s="1"/>
  <c r="D23" i="38" s="1"/>
  <c r="I20" i="15"/>
  <c r="G22" i="48" s="1"/>
  <c r="G20" i="48" s="1"/>
  <c r="I22" i="15"/>
  <c r="E21" i="42" s="1"/>
  <c r="D12" i="38" s="1"/>
  <c r="I9" i="15"/>
  <c r="I25" i="15"/>
  <c r="E33" i="42" s="1"/>
  <c r="D36" i="38" s="1"/>
  <c r="I34" i="15"/>
  <c r="E18" i="42" s="1"/>
  <c r="D38" i="38" s="1"/>
  <c r="I18" i="15"/>
  <c r="E30" i="42" s="1"/>
  <c r="D37" i="38" s="1"/>
  <c r="I13" i="15"/>
  <c r="E31" i="42" s="1"/>
  <c r="D30" i="38" s="1"/>
  <c r="I16" i="15"/>
  <c r="E32" i="42" s="1"/>
  <c r="D20" i="38" s="1"/>
  <c r="I29" i="15"/>
  <c r="E23" i="42" s="1"/>
  <c r="D19" i="38" s="1"/>
  <c r="I17" i="15"/>
  <c r="E9" i="42" s="1"/>
  <c r="D29" i="38" s="1"/>
  <c r="I31" i="15"/>
  <c r="E8" i="42" s="1"/>
  <c r="D28" i="38" s="1"/>
  <c r="I33" i="15"/>
  <c r="E34" i="42" s="1"/>
  <c r="D33" i="38" s="1"/>
  <c r="I24" i="15"/>
  <c r="E42" i="42" s="1"/>
  <c r="D39" i="38" s="1"/>
  <c r="I28" i="15"/>
  <c r="E7" i="42" s="1"/>
  <c r="D10" i="38" s="1"/>
  <c r="I15" i="15"/>
  <c r="E13" i="42" s="1"/>
  <c r="D21" i="38" s="1"/>
  <c r="I39" i="15"/>
  <c r="G13" i="48" s="1"/>
  <c r="Q33" i="1"/>
  <c r="R33" i="1" s="1"/>
  <c r="C3" i="15" s="1"/>
  <c r="Q395" i="1"/>
  <c r="Q162" i="1"/>
  <c r="Q445" i="1"/>
  <c r="Q588" i="1"/>
  <c r="R588" i="1" s="1"/>
  <c r="F11" i="60" s="1"/>
  <c r="Q200" i="1"/>
  <c r="R200" i="1" s="1"/>
  <c r="R136" i="1"/>
  <c r="S124" i="1"/>
  <c r="R123" i="1"/>
  <c r="S123" i="1" s="1"/>
  <c r="R120" i="1"/>
  <c r="S120" i="1" s="1"/>
  <c r="R50" i="1"/>
  <c r="Q616" i="1"/>
  <c r="R616" i="1" s="1"/>
  <c r="S616" i="1" s="1"/>
  <c r="Q90" i="1"/>
  <c r="R90" i="1" s="1"/>
  <c r="F7" i="59" s="1"/>
  <c r="Q623" i="1"/>
  <c r="R623" i="1" s="1"/>
  <c r="S623" i="1" s="1"/>
  <c r="Q614" i="1"/>
  <c r="R614" i="1" s="1"/>
  <c r="S614" i="1" s="1"/>
  <c r="R138" i="1"/>
  <c r="R137" i="1"/>
  <c r="D9" i="52" s="1"/>
  <c r="E14" i="60" l="1"/>
  <c r="E13" i="60"/>
  <c r="G13" i="60"/>
  <c r="J13" i="60" s="1"/>
  <c r="G14" i="60"/>
  <c r="F20" i="59"/>
  <c r="F9" i="60"/>
  <c r="G9" i="59"/>
  <c r="G12" i="60"/>
  <c r="G14" i="59"/>
  <c r="G7" i="60"/>
  <c r="F15" i="59"/>
  <c r="F5" i="60"/>
  <c r="F28" i="59"/>
  <c r="F8" i="60"/>
  <c r="G28" i="59"/>
  <c r="G8" i="60"/>
  <c r="D27" i="59"/>
  <c r="D14" i="60"/>
  <c r="J14" i="60" s="1"/>
  <c r="G4" i="59"/>
  <c r="G16" i="60"/>
  <c r="G38" i="59"/>
  <c r="G4" i="60"/>
  <c r="G39" i="59"/>
  <c r="G2" i="60"/>
  <c r="F35" i="52"/>
  <c r="F35" i="59"/>
  <c r="S12" i="1"/>
  <c r="D20" i="55" s="1"/>
  <c r="F2" i="59"/>
  <c r="S458" i="1"/>
  <c r="E27" i="59"/>
  <c r="J27" i="59" s="1"/>
  <c r="D29" i="15"/>
  <c r="G29" i="59"/>
  <c r="J29" i="59" s="1"/>
  <c r="G6" i="59"/>
  <c r="S201" i="1"/>
  <c r="D27" i="55" s="1"/>
  <c r="D13" i="57"/>
  <c r="F13" i="57" s="1"/>
  <c r="R13" i="15" s="1"/>
  <c r="C13" i="57"/>
  <c r="G13" i="57" s="1"/>
  <c r="S13" i="15" s="1"/>
  <c r="S163" i="1"/>
  <c r="D14" i="55" s="1"/>
  <c r="D11" i="57"/>
  <c r="F11" i="57" s="1"/>
  <c r="R11" i="15" s="1"/>
  <c r="C11" i="57"/>
  <c r="G11" i="57" s="1"/>
  <c r="S11" i="15" s="1"/>
  <c r="C15" i="57"/>
  <c r="D15" i="57"/>
  <c r="F15" i="57" s="1"/>
  <c r="R15" i="15" s="1"/>
  <c r="D9" i="55"/>
  <c r="D28" i="57"/>
  <c r="F28" i="57" s="1"/>
  <c r="R28" i="15" s="1"/>
  <c r="C28" i="57"/>
  <c r="G28" i="57" s="1"/>
  <c r="S28" i="15" s="1"/>
  <c r="D2" i="57"/>
  <c r="F2" i="57" s="1"/>
  <c r="R2" i="15" s="1"/>
  <c r="C2" i="57"/>
  <c r="G2" i="57" s="1"/>
  <c r="S2" i="15" s="1"/>
  <c r="D30" i="57"/>
  <c r="F30" i="57" s="1"/>
  <c r="R30" i="15" s="1"/>
  <c r="C30" i="57"/>
  <c r="G30" i="57" s="1"/>
  <c r="S30" i="15" s="1"/>
  <c r="S457" i="1"/>
  <c r="D12" i="55"/>
  <c r="R76" i="1"/>
  <c r="S76" i="1" s="1"/>
  <c r="D13" i="55"/>
  <c r="C13" i="55"/>
  <c r="Q3" i="1"/>
  <c r="R3" i="1" s="1"/>
  <c r="E2" i="59" s="1"/>
  <c r="G9" i="52"/>
  <c r="D27" i="53"/>
  <c r="R445" i="1"/>
  <c r="E18" i="53"/>
  <c r="R162" i="1"/>
  <c r="R395" i="1"/>
  <c r="D21" i="52" s="1"/>
  <c r="R408" i="1"/>
  <c r="R28" i="1"/>
  <c r="R212" i="1"/>
  <c r="F13" i="59" s="1"/>
  <c r="J13" i="59" s="1"/>
  <c r="R231" i="1"/>
  <c r="R232" i="1"/>
  <c r="F14" i="52" s="1"/>
  <c r="E11" i="53" s="1"/>
  <c r="R314" i="1"/>
  <c r="R372" i="1"/>
  <c r="F10" i="60" s="1"/>
  <c r="R545" i="1"/>
  <c r="D33" i="52" s="1"/>
  <c r="R477" i="1"/>
  <c r="D27" i="52" s="1"/>
  <c r="R639" i="1"/>
  <c r="F4" i="60" s="1"/>
  <c r="C31" i="48"/>
  <c r="F31" i="48" s="1"/>
  <c r="D23" i="48"/>
  <c r="D24" i="48"/>
  <c r="E7" i="48"/>
  <c r="C35" i="48"/>
  <c r="F35" i="48" s="1"/>
  <c r="C34" i="48"/>
  <c r="F34" i="48" s="1"/>
  <c r="D14" i="48"/>
  <c r="E16" i="48"/>
  <c r="D36" i="15"/>
  <c r="D33" i="39" s="1"/>
  <c r="D25" i="48"/>
  <c r="F25" i="48" s="1"/>
  <c r="D16" i="48"/>
  <c r="C27" i="15"/>
  <c r="C17" i="39" s="1"/>
  <c r="C23" i="48"/>
  <c r="E24" i="48"/>
  <c r="E12" i="15"/>
  <c r="Q446" i="1"/>
  <c r="R446" i="1" s="1"/>
  <c r="E26" i="59" s="1"/>
  <c r="J26" i="59" s="1"/>
  <c r="C21" i="15"/>
  <c r="C25" i="39" s="1"/>
  <c r="D26" i="15"/>
  <c r="D39" i="10" s="1"/>
  <c r="D17" i="48"/>
  <c r="E27" i="42"/>
  <c r="D14" i="38" s="1"/>
  <c r="E36" i="42"/>
  <c r="D17" i="38" s="1"/>
  <c r="E44" i="42"/>
  <c r="D44" i="38" s="1"/>
  <c r="E29" i="42"/>
  <c r="D40" i="38" s="1"/>
  <c r="E45" i="42"/>
  <c r="D16" i="38" s="1"/>
  <c r="E43" i="42"/>
  <c r="D43" i="38" s="1"/>
  <c r="E17" i="42"/>
  <c r="D35" i="38" s="1"/>
  <c r="E40" i="42"/>
  <c r="D42" i="38" s="1"/>
  <c r="E46" i="42"/>
  <c r="D41" i="38" s="1"/>
  <c r="C35" i="15"/>
  <c r="C18" i="39" s="1"/>
  <c r="D27" i="15"/>
  <c r="D16" i="10" s="1"/>
  <c r="D30" i="15"/>
  <c r="D37" i="10" s="1"/>
  <c r="D11" i="15"/>
  <c r="D22" i="39" s="1"/>
  <c r="D2" i="15"/>
  <c r="D25" i="10" s="1"/>
  <c r="C31" i="39"/>
  <c r="C34" i="10"/>
  <c r="Q591" i="1"/>
  <c r="R591" i="1" s="1"/>
  <c r="D37" i="59" s="1"/>
  <c r="J37" i="59" s="1"/>
  <c r="C12" i="15"/>
  <c r="C30" i="55"/>
  <c r="E33" i="15"/>
  <c r="D35" i="15"/>
  <c r="C14" i="55"/>
  <c r="E11" i="15"/>
  <c r="D15" i="15"/>
  <c r="E15" i="15"/>
  <c r="E11" i="10" s="1"/>
  <c r="C9" i="55"/>
  <c r="E28" i="15"/>
  <c r="C37" i="55"/>
  <c r="E37" i="55" s="1"/>
  <c r="E30" i="15"/>
  <c r="D21" i="10"/>
  <c r="D21" i="39"/>
  <c r="F29" i="15"/>
  <c r="C27" i="55"/>
  <c r="E27" i="55" s="1"/>
  <c r="E13" i="15"/>
  <c r="C14" i="15"/>
  <c r="D28" i="15"/>
  <c r="D38" i="15"/>
  <c r="C20" i="55"/>
  <c r="E2" i="15"/>
  <c r="C32" i="39"/>
  <c r="C41" i="10"/>
  <c r="E14" i="42"/>
  <c r="D11" i="38" s="1"/>
  <c r="E39" i="42"/>
  <c r="Q29" i="1"/>
  <c r="R29" i="1" s="1"/>
  <c r="E3" i="59" s="1"/>
  <c r="Q461" i="1"/>
  <c r="R461" i="1" s="1"/>
  <c r="Q220" i="1"/>
  <c r="R220" i="1" s="1"/>
  <c r="R557" i="1"/>
  <c r="E20" i="55" l="1"/>
  <c r="E9" i="55"/>
  <c r="E14" i="55"/>
  <c r="G15" i="59"/>
  <c r="J15" i="59" s="1"/>
  <c r="G5" i="60"/>
  <c r="D7" i="60"/>
  <c r="J5" i="60"/>
  <c r="F38" i="52"/>
  <c r="E10" i="53" s="1"/>
  <c r="F38" i="59"/>
  <c r="C19" i="52"/>
  <c r="F19" i="59"/>
  <c r="C14" i="52"/>
  <c r="D14" i="59"/>
  <c r="D3" i="52"/>
  <c r="G3" i="59"/>
  <c r="G46" i="59" s="1"/>
  <c r="G47" i="59" s="1"/>
  <c r="J2" i="59"/>
  <c r="G15" i="57"/>
  <c r="S15" i="15" s="1"/>
  <c r="D27" i="57"/>
  <c r="F27" i="57" s="1"/>
  <c r="R27" i="15" s="1"/>
  <c r="C12" i="55" s="1"/>
  <c r="C27" i="57"/>
  <c r="G27" i="57" s="1"/>
  <c r="S27" i="15" s="1"/>
  <c r="S29" i="1"/>
  <c r="D32" i="55" s="1"/>
  <c r="D3" i="57"/>
  <c r="F3" i="57" s="1"/>
  <c r="R3" i="15" s="1"/>
  <c r="C3" i="57"/>
  <c r="G3" i="57" s="1"/>
  <c r="S3" i="15" s="1"/>
  <c r="D26" i="57"/>
  <c r="F26" i="57" s="1"/>
  <c r="R26" i="15" s="1"/>
  <c r="C33" i="55" s="1"/>
  <c r="C26" i="57"/>
  <c r="G26" i="57" s="1"/>
  <c r="S26" i="15" s="1"/>
  <c r="E12" i="55"/>
  <c r="E13" i="55"/>
  <c r="D15" i="38"/>
  <c r="E26" i="15"/>
  <c r="E43" i="39" s="1"/>
  <c r="Q236" i="1"/>
  <c r="E17" i="48"/>
  <c r="S446" i="1"/>
  <c r="S236" i="1"/>
  <c r="D18" i="55" s="1"/>
  <c r="C15" i="15"/>
  <c r="C11" i="10" s="1"/>
  <c r="C15" i="52"/>
  <c r="C13" i="53" s="1"/>
  <c r="C13" i="15"/>
  <c r="C35" i="39" s="1"/>
  <c r="D13" i="52"/>
  <c r="G13" i="52" s="1"/>
  <c r="C22" i="15"/>
  <c r="D22" i="52"/>
  <c r="D26" i="53" s="1"/>
  <c r="C10" i="15"/>
  <c r="D10" i="52"/>
  <c r="G10" i="52" s="1"/>
  <c r="C25" i="15"/>
  <c r="F25" i="52"/>
  <c r="E19" i="53" s="1"/>
  <c r="F24" i="48"/>
  <c r="H24" i="48" s="1"/>
  <c r="D33" i="10"/>
  <c r="D22" i="53"/>
  <c r="G27" i="52"/>
  <c r="D28" i="53"/>
  <c r="G33" i="52"/>
  <c r="C16" i="53"/>
  <c r="C11" i="53"/>
  <c r="G14" i="52"/>
  <c r="D21" i="53"/>
  <c r="G3" i="52"/>
  <c r="D24" i="53"/>
  <c r="G21" i="52"/>
  <c r="E27" i="15"/>
  <c r="E17" i="39" s="1"/>
  <c r="D17" i="39"/>
  <c r="F7" i="48"/>
  <c r="G49" i="44" s="1"/>
  <c r="L42" i="15" s="1"/>
  <c r="E6" i="48"/>
  <c r="E9" i="10" s="1"/>
  <c r="C6" i="48"/>
  <c r="C9" i="10" s="1"/>
  <c r="F8" i="48"/>
  <c r="E49" i="43" s="1"/>
  <c r="M42" i="15" s="1"/>
  <c r="F30" i="48"/>
  <c r="C30" i="48"/>
  <c r="D43" i="39"/>
  <c r="C24" i="10"/>
  <c r="H25" i="48"/>
  <c r="F17" i="48"/>
  <c r="H17" i="48" s="1"/>
  <c r="D22" i="10"/>
  <c r="D37" i="15"/>
  <c r="D48" i="10" s="1"/>
  <c r="D27" i="48"/>
  <c r="D20" i="48" s="1"/>
  <c r="F16" i="48"/>
  <c r="H16" i="48" s="1"/>
  <c r="D30" i="39"/>
  <c r="F36" i="15"/>
  <c r="F33" i="39" s="1"/>
  <c r="C16" i="10"/>
  <c r="E23" i="48"/>
  <c r="E20" i="48" s="1"/>
  <c r="D40" i="39"/>
  <c r="C19" i="10"/>
  <c r="F2" i="15"/>
  <c r="F25" i="10" s="1"/>
  <c r="F11" i="15"/>
  <c r="C29" i="12" s="1"/>
  <c r="D19" i="10"/>
  <c r="D18" i="39"/>
  <c r="C32" i="55"/>
  <c r="E3" i="15"/>
  <c r="E30" i="10"/>
  <c r="E35" i="39"/>
  <c r="D29" i="36"/>
  <c r="E29" i="36"/>
  <c r="E37" i="10"/>
  <c r="E40" i="39"/>
  <c r="D35" i="36"/>
  <c r="E35" i="36"/>
  <c r="D11" i="10"/>
  <c r="D11" i="39"/>
  <c r="F30" i="15"/>
  <c r="E25" i="10"/>
  <c r="E19" i="36"/>
  <c r="E30" i="39"/>
  <c r="D19" i="36"/>
  <c r="D10" i="10"/>
  <c r="D9" i="39"/>
  <c r="F21" i="10"/>
  <c r="F21" i="39"/>
  <c r="C24" i="12"/>
  <c r="E12" i="10"/>
  <c r="E10" i="39"/>
  <c r="E10" i="36"/>
  <c r="D10" i="36"/>
  <c r="E22" i="10"/>
  <c r="E22" i="39"/>
  <c r="D17" i="36"/>
  <c r="E17" i="36"/>
  <c r="E42" i="10"/>
  <c r="D33" i="36"/>
  <c r="E42" i="39"/>
  <c r="E33" i="36"/>
  <c r="C14" i="10"/>
  <c r="C13" i="39"/>
  <c r="E11" i="39"/>
  <c r="E11" i="36"/>
  <c r="D11" i="36"/>
  <c r="C17" i="55"/>
  <c r="E17" i="55" s="1"/>
  <c r="E10" i="15"/>
  <c r="D12" i="10"/>
  <c r="D10" i="39"/>
  <c r="E14" i="15"/>
  <c r="Q767" i="1"/>
  <c r="Q766" i="1"/>
  <c r="Q711" i="1"/>
  <c r="R711" i="1" s="1"/>
  <c r="Q647" i="1"/>
  <c r="R647" i="1" s="1"/>
  <c r="Q646" i="1"/>
  <c r="R646" i="1" s="1"/>
  <c r="Q645" i="1"/>
  <c r="R645" i="1" s="1"/>
  <c r="Q643" i="1"/>
  <c r="R643" i="1" s="1"/>
  <c r="Q638" i="1"/>
  <c r="R638" i="1" s="1"/>
  <c r="Q636" i="1"/>
  <c r="Q635" i="1"/>
  <c r="Q613" i="1"/>
  <c r="R613" i="1" s="1"/>
  <c r="Q611" i="1"/>
  <c r="R611" i="1" s="1"/>
  <c r="S611" i="1" s="1"/>
  <c r="Q610" i="1"/>
  <c r="R610" i="1" s="1"/>
  <c r="D38" i="57" s="1"/>
  <c r="Q580" i="1"/>
  <c r="Q576" i="1"/>
  <c r="R576" i="1" s="1"/>
  <c r="Q566" i="1"/>
  <c r="R566" i="1" s="1"/>
  <c r="S566" i="1" s="1"/>
  <c r="Q561" i="1"/>
  <c r="R561" i="1" s="1"/>
  <c r="F34" i="59" s="1"/>
  <c r="Q559" i="1"/>
  <c r="R559" i="1" s="1"/>
  <c r="Q556" i="1"/>
  <c r="R556" i="1" s="1"/>
  <c r="D34" i="59" s="1"/>
  <c r="Q547" i="1"/>
  <c r="R547" i="1" s="1"/>
  <c r="F33" i="59" s="1"/>
  <c r="Q539" i="1"/>
  <c r="R539" i="1" s="1"/>
  <c r="D33" i="59" s="1"/>
  <c r="J33" i="59" s="1"/>
  <c r="Q534" i="1"/>
  <c r="R534" i="1" s="1"/>
  <c r="Q533" i="1"/>
  <c r="R533" i="1" s="1"/>
  <c r="E32" i="59" s="1"/>
  <c r="Q531" i="1"/>
  <c r="R531" i="1" s="1"/>
  <c r="S531" i="1" s="1"/>
  <c r="Q530" i="1"/>
  <c r="R530" i="1" s="1"/>
  <c r="D32" i="59" s="1"/>
  <c r="Q529" i="1"/>
  <c r="R529" i="1" s="1"/>
  <c r="Q527" i="1"/>
  <c r="R527" i="1" s="1"/>
  <c r="Q524" i="1"/>
  <c r="R524" i="1" s="1"/>
  <c r="E31" i="59" s="1"/>
  <c r="Q520" i="1"/>
  <c r="R520" i="1" s="1"/>
  <c r="D31" i="59" s="1"/>
  <c r="J31" i="59" s="1"/>
  <c r="Q495" i="1"/>
  <c r="Q494" i="1"/>
  <c r="E32" i="55" l="1"/>
  <c r="C39" i="57"/>
  <c r="E39" i="15"/>
  <c r="E38" i="59"/>
  <c r="E4" i="60"/>
  <c r="F14" i="59"/>
  <c r="F7" i="60"/>
  <c r="F39" i="59"/>
  <c r="F2" i="60"/>
  <c r="D32" i="15"/>
  <c r="N42" i="15"/>
  <c r="E47" i="43"/>
  <c r="M40" i="15" s="1"/>
  <c r="E48" i="43"/>
  <c r="M41" i="15" s="1"/>
  <c r="E46" i="43"/>
  <c r="G47" i="44"/>
  <c r="L40" i="15" s="1"/>
  <c r="G48" i="44"/>
  <c r="L41" i="15" s="1"/>
  <c r="N41" i="15" s="1"/>
  <c r="D35" i="55"/>
  <c r="D31" i="57"/>
  <c r="F31" i="57" s="1"/>
  <c r="R31" i="15" s="1"/>
  <c r="C31" i="57"/>
  <c r="G31" i="57" s="1"/>
  <c r="S31" i="15" s="1"/>
  <c r="S576" i="1"/>
  <c r="D25" i="55" s="1"/>
  <c r="D35" i="57"/>
  <c r="F35" i="57" s="1"/>
  <c r="R35" i="15" s="1"/>
  <c r="D39" i="57"/>
  <c r="F39" i="57" s="1"/>
  <c r="S610" i="1"/>
  <c r="F38" i="57"/>
  <c r="R38" i="15" s="1"/>
  <c r="C10" i="55" s="1"/>
  <c r="C38" i="57"/>
  <c r="G38" i="57" s="1"/>
  <c r="S38" i="15" s="1"/>
  <c r="D14" i="57"/>
  <c r="F14" i="57" s="1"/>
  <c r="R14" i="15" s="1"/>
  <c r="C18" i="55" s="1"/>
  <c r="E18" i="55" s="1"/>
  <c r="C14" i="57"/>
  <c r="G14" i="57" s="1"/>
  <c r="S14" i="15" s="1"/>
  <c r="E31" i="36"/>
  <c r="G25" i="52"/>
  <c r="C11" i="39"/>
  <c r="D31" i="36"/>
  <c r="E39" i="10"/>
  <c r="F26" i="15"/>
  <c r="F15" i="15"/>
  <c r="F11" i="10" s="1"/>
  <c r="G15" i="52"/>
  <c r="G22" i="52"/>
  <c r="G9" i="44"/>
  <c r="L5" i="15" s="1"/>
  <c r="G46" i="44"/>
  <c r="D20" i="53"/>
  <c r="D23" i="53"/>
  <c r="C30" i="10"/>
  <c r="D33" i="55"/>
  <c r="E33" i="55" s="1"/>
  <c r="D10" i="55"/>
  <c r="C24" i="39"/>
  <c r="C28" i="10"/>
  <c r="C20" i="10"/>
  <c r="C19" i="39"/>
  <c r="C29" i="10"/>
  <c r="C29" i="39"/>
  <c r="G41" i="44"/>
  <c r="L36" i="15" s="1"/>
  <c r="G20" i="44"/>
  <c r="L18" i="15" s="1"/>
  <c r="G44" i="44"/>
  <c r="L2" i="15" s="1"/>
  <c r="G30" i="44"/>
  <c r="L32" i="15" s="1"/>
  <c r="G11" i="44"/>
  <c r="L8" i="15" s="1"/>
  <c r="G45" i="44"/>
  <c r="L30" i="15" s="1"/>
  <c r="E16" i="10"/>
  <c r="G14" i="44"/>
  <c r="L11" i="15" s="1"/>
  <c r="G26" i="44"/>
  <c r="L25" i="15" s="1"/>
  <c r="G7" i="44"/>
  <c r="L3" i="15" s="1"/>
  <c r="G29" i="44"/>
  <c r="L31" i="15" s="1"/>
  <c r="G37" i="44"/>
  <c r="L38" i="15" s="1"/>
  <c r="G34" i="44"/>
  <c r="G21" i="44"/>
  <c r="L19" i="15" s="1"/>
  <c r="G10" i="44"/>
  <c r="L7" i="15" s="1"/>
  <c r="G31" i="44"/>
  <c r="L33" i="15" s="1"/>
  <c r="G13" i="44"/>
  <c r="L10" i="15" s="1"/>
  <c r="G43" i="44"/>
  <c r="L26" i="15" s="1"/>
  <c r="G18" i="44"/>
  <c r="L16" i="15" s="1"/>
  <c r="G24" i="44"/>
  <c r="L23" i="15" s="1"/>
  <c r="G33" i="44"/>
  <c r="L35" i="15" s="1"/>
  <c r="G15" i="44"/>
  <c r="L13" i="15" s="1"/>
  <c r="G32" i="44"/>
  <c r="L34" i="15" s="1"/>
  <c r="G8" i="44"/>
  <c r="L4" i="15" s="1"/>
  <c r="G28" i="44"/>
  <c r="L29" i="15" s="1"/>
  <c r="G35" i="44"/>
  <c r="L39" i="15" s="1"/>
  <c r="G17" i="44"/>
  <c r="L15" i="15" s="1"/>
  <c r="G38" i="44"/>
  <c r="L20" i="15" s="1"/>
  <c r="G16" i="44"/>
  <c r="L14" i="15" s="1"/>
  <c r="G42" i="44"/>
  <c r="L27" i="15" s="1"/>
  <c r="G12" i="44"/>
  <c r="L9" i="15" s="1"/>
  <c r="G23" i="44"/>
  <c r="L22" i="15" s="1"/>
  <c r="G19" i="44"/>
  <c r="L17" i="15" s="1"/>
  <c r="G36" i="44"/>
  <c r="L6" i="15" s="1"/>
  <c r="G22" i="44"/>
  <c r="L21" i="15" s="1"/>
  <c r="G39" i="44"/>
  <c r="G27" i="44"/>
  <c r="L28" i="15" s="1"/>
  <c r="R494" i="1"/>
  <c r="D8" i="60" s="1"/>
  <c r="R495" i="1"/>
  <c r="E8" i="60" s="1"/>
  <c r="R580" i="1"/>
  <c r="R636" i="1"/>
  <c r="C38" i="52" s="1"/>
  <c r="R766" i="1"/>
  <c r="D2" i="60" s="1"/>
  <c r="R767" i="1"/>
  <c r="E2" i="60" s="1"/>
  <c r="F27" i="15"/>
  <c r="F17" i="39" s="1"/>
  <c r="D13" i="36"/>
  <c r="C28" i="15"/>
  <c r="C12" i="10" s="1"/>
  <c r="E13" i="36"/>
  <c r="D31" i="15"/>
  <c r="D41" i="10" s="1"/>
  <c r="G40" i="44"/>
  <c r="L37" i="15" s="1"/>
  <c r="G25" i="44"/>
  <c r="L24" i="15" s="1"/>
  <c r="E20" i="43"/>
  <c r="M18" i="15" s="1"/>
  <c r="E36" i="43"/>
  <c r="M6" i="15" s="1"/>
  <c r="E17" i="43"/>
  <c r="M15" i="15" s="1"/>
  <c r="E33" i="43"/>
  <c r="M35" i="15" s="1"/>
  <c r="E10" i="43"/>
  <c r="M7" i="15" s="1"/>
  <c r="E41" i="43"/>
  <c r="M36" i="15" s="1"/>
  <c r="E8" i="43"/>
  <c r="M4" i="15" s="1"/>
  <c r="E24" i="43"/>
  <c r="M23" i="15" s="1"/>
  <c r="E43" i="43"/>
  <c r="M26" i="15" s="1"/>
  <c r="E21" i="43"/>
  <c r="M19" i="15" s="1"/>
  <c r="E37" i="43"/>
  <c r="M38" i="15" s="1"/>
  <c r="E14" i="43"/>
  <c r="M11" i="15" s="1"/>
  <c r="E30" i="43"/>
  <c r="M32" i="15" s="1"/>
  <c r="E45" i="43"/>
  <c r="M30" i="15" s="1"/>
  <c r="E23" i="43"/>
  <c r="M22" i="15" s="1"/>
  <c r="E39" i="43"/>
  <c r="E12" i="43"/>
  <c r="M9" i="15" s="1"/>
  <c r="E28" i="43"/>
  <c r="M29" i="15" s="1"/>
  <c r="E9" i="43"/>
  <c r="M5" i="15" s="1"/>
  <c r="E25" i="43"/>
  <c r="M24" i="15" s="1"/>
  <c r="E40" i="43"/>
  <c r="M37" i="15" s="1"/>
  <c r="E18" i="43"/>
  <c r="M16" i="15" s="1"/>
  <c r="E34" i="43"/>
  <c r="M12" i="15" s="1"/>
  <c r="E11" i="43"/>
  <c r="M8" i="15" s="1"/>
  <c r="E27" i="43"/>
  <c r="M28" i="15" s="1"/>
  <c r="E42" i="43"/>
  <c r="M27" i="15" s="1"/>
  <c r="E16" i="43"/>
  <c r="M14" i="15" s="1"/>
  <c r="E32" i="43"/>
  <c r="M34" i="15" s="1"/>
  <c r="E13" i="43"/>
  <c r="M10" i="15" s="1"/>
  <c r="E29" i="43"/>
  <c r="M31" i="15" s="1"/>
  <c r="E44" i="43"/>
  <c r="M2" i="15" s="1"/>
  <c r="E22" i="43"/>
  <c r="M21" i="15" s="1"/>
  <c r="E38" i="43"/>
  <c r="M20" i="15" s="1"/>
  <c r="E15" i="43"/>
  <c r="M13" i="15" s="1"/>
  <c r="E31" i="43"/>
  <c r="M33" i="15" s="1"/>
  <c r="E7" i="43"/>
  <c r="M3" i="15" s="1"/>
  <c r="E26" i="43"/>
  <c r="M25" i="15" s="1"/>
  <c r="E19" i="43"/>
  <c r="M17" i="15" s="1"/>
  <c r="E35" i="43"/>
  <c r="M39" i="15" s="1"/>
  <c r="F37" i="15"/>
  <c r="C47" i="12" s="1"/>
  <c r="D27" i="39"/>
  <c r="C32" i="12"/>
  <c r="F23" i="48"/>
  <c r="H23" i="48" s="1"/>
  <c r="C13" i="48"/>
  <c r="F30" i="39"/>
  <c r="F33" i="10"/>
  <c r="D13" i="48"/>
  <c r="D34" i="15"/>
  <c r="D31" i="10" s="1"/>
  <c r="C38" i="15"/>
  <c r="C9" i="39" s="1"/>
  <c r="C14" i="48"/>
  <c r="E8" i="10"/>
  <c r="E13" i="48"/>
  <c r="C39" i="12"/>
  <c r="F27" i="48"/>
  <c r="H27" i="48" s="1"/>
  <c r="E14" i="48"/>
  <c r="G36" i="15"/>
  <c r="J36" i="15" s="1"/>
  <c r="C40" i="38" s="1"/>
  <c r="F22" i="39"/>
  <c r="F22" i="10"/>
  <c r="C35" i="55"/>
  <c r="E31" i="15"/>
  <c r="F37" i="10"/>
  <c r="C40" i="12"/>
  <c r="F40" i="39"/>
  <c r="E20" i="10"/>
  <c r="E19" i="39"/>
  <c r="D14" i="36"/>
  <c r="E14" i="36"/>
  <c r="G30" i="15"/>
  <c r="J30" i="15" s="1"/>
  <c r="C44" i="38" s="1"/>
  <c r="D33" i="15"/>
  <c r="C39" i="15"/>
  <c r="D26" i="10"/>
  <c r="D20" i="39"/>
  <c r="E38" i="15"/>
  <c r="C25" i="55"/>
  <c r="E35" i="15"/>
  <c r="D39" i="15"/>
  <c r="E14" i="10"/>
  <c r="E22" i="36"/>
  <c r="D22" i="36"/>
  <c r="E13" i="39"/>
  <c r="F39" i="10"/>
  <c r="F43" i="39"/>
  <c r="C42" i="12"/>
  <c r="E34" i="10"/>
  <c r="E36" i="36"/>
  <c r="E31" i="39"/>
  <c r="D36" i="36"/>
  <c r="G26" i="15"/>
  <c r="G2" i="15"/>
  <c r="Q562" i="1"/>
  <c r="R562" i="1" s="1"/>
  <c r="E34" i="59" s="1"/>
  <c r="J34" i="59" s="1"/>
  <c r="F32" i="59"/>
  <c r="J32" i="59" s="1"/>
  <c r="E35" i="55" l="1"/>
  <c r="E25" i="55"/>
  <c r="D4" i="60"/>
  <c r="J4" i="60" s="1"/>
  <c r="D35" i="59"/>
  <c r="J35" i="59" s="1"/>
  <c r="D11" i="60"/>
  <c r="J11" i="60" s="1"/>
  <c r="J8" i="60"/>
  <c r="J2" i="60"/>
  <c r="D39" i="52"/>
  <c r="E39" i="59"/>
  <c r="F39" i="52"/>
  <c r="E9" i="53" s="1"/>
  <c r="E50" i="53" s="1"/>
  <c r="D39" i="59"/>
  <c r="J39" i="59" s="1"/>
  <c r="D38" i="52"/>
  <c r="D10" i="53" s="1"/>
  <c r="D38" i="59"/>
  <c r="J38" i="59" s="1"/>
  <c r="D28" i="52"/>
  <c r="E28" i="59"/>
  <c r="E28" i="52"/>
  <c r="F14" i="53" s="1"/>
  <c r="F50" i="53" s="1"/>
  <c r="D28" i="59"/>
  <c r="J28" i="59" s="1"/>
  <c r="D46" i="12"/>
  <c r="O42" i="15"/>
  <c r="D45" i="32" s="1"/>
  <c r="P42" i="15"/>
  <c r="N40" i="15"/>
  <c r="D32" i="39"/>
  <c r="C22" i="12"/>
  <c r="F16" i="10"/>
  <c r="D44" i="12"/>
  <c r="P41" i="15"/>
  <c r="O41" i="15"/>
  <c r="D44" i="32" s="1"/>
  <c r="D45" i="12"/>
  <c r="P40" i="15"/>
  <c r="O40" i="15"/>
  <c r="D47" i="32" s="1"/>
  <c r="D32" i="57"/>
  <c r="F32" i="57" s="1"/>
  <c r="R32" i="15" s="1"/>
  <c r="C32" i="57"/>
  <c r="G32" i="57" s="1"/>
  <c r="S32" i="15" s="1"/>
  <c r="D35" i="52"/>
  <c r="C35" i="57"/>
  <c r="G35" i="57" s="1"/>
  <c r="S35" i="15" s="1"/>
  <c r="R39" i="15"/>
  <c r="C8" i="55" s="1"/>
  <c r="G39" i="57"/>
  <c r="S39" i="15" s="1"/>
  <c r="S562" i="1"/>
  <c r="D28" i="55" s="1"/>
  <c r="D34" i="57"/>
  <c r="F34" i="57" s="1"/>
  <c r="R34" i="15" s="1"/>
  <c r="C34" i="57"/>
  <c r="G34" i="57" s="1"/>
  <c r="S34" i="15" s="1"/>
  <c r="C9" i="12"/>
  <c r="F11" i="39"/>
  <c r="L12" i="15"/>
  <c r="E8" i="55"/>
  <c r="E10" i="55"/>
  <c r="C24" i="55"/>
  <c r="D24" i="55"/>
  <c r="C10" i="39"/>
  <c r="D9" i="53"/>
  <c r="G39" i="52"/>
  <c r="C10" i="53"/>
  <c r="G38" i="52"/>
  <c r="D18" i="53"/>
  <c r="G35" i="52"/>
  <c r="D14" i="53"/>
  <c r="G28" i="52"/>
  <c r="D8" i="36"/>
  <c r="F28" i="15"/>
  <c r="F10" i="39" s="1"/>
  <c r="F31" i="15"/>
  <c r="C31" i="12" s="1"/>
  <c r="F27" i="39"/>
  <c r="F48" i="10"/>
  <c r="G37" i="15"/>
  <c r="J37" i="15" s="1"/>
  <c r="C35" i="38" s="1"/>
  <c r="F38" i="15"/>
  <c r="C10" i="12" s="1"/>
  <c r="C10" i="10"/>
  <c r="F13" i="48"/>
  <c r="D23" i="39"/>
  <c r="E8" i="39"/>
  <c r="E8" i="36"/>
  <c r="F14" i="48"/>
  <c r="H14" i="48" s="1"/>
  <c r="D8" i="10"/>
  <c r="D8" i="39"/>
  <c r="E32" i="15"/>
  <c r="E41" i="10"/>
  <c r="E32" i="39"/>
  <c r="E37" i="36"/>
  <c r="D37" i="36"/>
  <c r="C28" i="55"/>
  <c r="E34" i="15"/>
  <c r="D42" i="10"/>
  <c r="D42" i="39"/>
  <c r="F33" i="15"/>
  <c r="E19" i="10"/>
  <c r="E18" i="39"/>
  <c r="E20" i="36"/>
  <c r="D20" i="36"/>
  <c r="F35" i="15"/>
  <c r="E10" i="10"/>
  <c r="E9" i="36"/>
  <c r="D9" i="36"/>
  <c r="E9" i="39"/>
  <c r="C8" i="10"/>
  <c r="C8" i="39"/>
  <c r="F39" i="15"/>
  <c r="F12" i="10"/>
  <c r="C43" i="8"/>
  <c r="C43" i="32"/>
  <c r="C38" i="8"/>
  <c r="C41" i="32"/>
  <c r="E44" i="38"/>
  <c r="E40" i="38"/>
  <c r="J2" i="15"/>
  <c r="C41" i="38" s="1"/>
  <c r="J26" i="15"/>
  <c r="C43" i="38" s="1"/>
  <c r="G27" i="15"/>
  <c r="Q99" i="1"/>
  <c r="R99" i="1" s="1"/>
  <c r="Q126" i="1"/>
  <c r="R126" i="1" s="1"/>
  <c r="S126" i="1" s="1"/>
  <c r="Q121" i="1"/>
  <c r="R121" i="1" s="1"/>
  <c r="Q119" i="1"/>
  <c r="R119" i="1" s="1"/>
  <c r="S119" i="1" s="1"/>
  <c r="Q118" i="1"/>
  <c r="R118" i="1" s="1"/>
  <c r="E12" i="60" s="1"/>
  <c r="Q112" i="1"/>
  <c r="R112" i="1" s="1"/>
  <c r="S112" i="1" s="1"/>
  <c r="Q100" i="1"/>
  <c r="R100" i="1" s="1"/>
  <c r="S100" i="1" s="1"/>
  <c r="Q94" i="1"/>
  <c r="R94" i="1" s="1"/>
  <c r="Q74" i="1"/>
  <c r="R74" i="1" s="1"/>
  <c r="S74" i="1" s="1"/>
  <c r="Q73" i="1"/>
  <c r="R73" i="1" s="1"/>
  <c r="S73" i="1" s="1"/>
  <c r="Q67" i="1"/>
  <c r="R67" i="1" s="1"/>
  <c r="S67" i="1" s="1"/>
  <c r="Q56" i="1"/>
  <c r="R56" i="1" s="1"/>
  <c r="Q55" i="1"/>
  <c r="R55" i="1" s="1"/>
  <c r="Q54" i="1"/>
  <c r="R54" i="1" s="1"/>
  <c r="Q38" i="1"/>
  <c r="R38" i="1" s="1"/>
  <c r="E28" i="55" l="1"/>
  <c r="F4" i="59"/>
  <c r="F16" i="60"/>
  <c r="F6" i="59"/>
  <c r="F6" i="60"/>
  <c r="D12" i="60"/>
  <c r="J12" i="60" s="1"/>
  <c r="C6" i="59"/>
  <c r="C6" i="60"/>
  <c r="C46" i="59"/>
  <c r="C47" i="59" s="1"/>
  <c r="D8" i="15"/>
  <c r="E8" i="59"/>
  <c r="J8" i="59" s="1"/>
  <c r="S118" i="1"/>
  <c r="E9" i="59"/>
  <c r="F9" i="59"/>
  <c r="F46" i="59" s="1"/>
  <c r="F47" i="59" s="1"/>
  <c r="S99" i="1"/>
  <c r="D9" i="59"/>
  <c r="J9" i="59" s="1"/>
  <c r="Q42" i="15"/>
  <c r="E45" i="32" s="1"/>
  <c r="E46" i="12"/>
  <c r="C12" i="12"/>
  <c r="E45" i="12"/>
  <c r="Q40" i="15"/>
  <c r="E47" i="32" s="1"/>
  <c r="E44" i="12"/>
  <c r="Q41" i="15"/>
  <c r="E44" i="32" s="1"/>
  <c r="S121" i="1"/>
  <c r="C9" i="57"/>
  <c r="D9" i="57"/>
  <c r="F9" i="57" s="1"/>
  <c r="R9" i="15" s="1"/>
  <c r="E24" i="55"/>
  <c r="H13" i="48"/>
  <c r="C46" i="8"/>
  <c r="C46" i="32"/>
  <c r="D15" i="55"/>
  <c r="F32" i="39"/>
  <c r="F41" i="10"/>
  <c r="F9" i="39"/>
  <c r="C8" i="35"/>
  <c r="C6" i="52"/>
  <c r="D15" i="48"/>
  <c r="D12" i="48" s="1"/>
  <c r="F10" i="10"/>
  <c r="C6" i="15"/>
  <c r="C13" i="10" s="1"/>
  <c r="C15" i="48"/>
  <c r="C12" i="48" s="1"/>
  <c r="E31" i="10"/>
  <c r="E28" i="36"/>
  <c r="E23" i="39"/>
  <c r="D28" i="36"/>
  <c r="F34" i="15"/>
  <c r="D6" i="15"/>
  <c r="D44" i="10"/>
  <c r="D41" i="39"/>
  <c r="F8" i="15"/>
  <c r="F19" i="10"/>
  <c r="F18" i="39"/>
  <c r="C17" i="12"/>
  <c r="C8" i="12"/>
  <c r="F8" i="39"/>
  <c r="F8" i="10"/>
  <c r="F42" i="10"/>
  <c r="C38" i="12"/>
  <c r="F42" i="39"/>
  <c r="E26" i="10"/>
  <c r="D21" i="36"/>
  <c r="E20" i="39"/>
  <c r="E21" i="36"/>
  <c r="F32" i="15"/>
  <c r="C39" i="32"/>
  <c r="C31" i="8"/>
  <c r="C42" i="32"/>
  <c r="C39" i="8"/>
  <c r="E35" i="38"/>
  <c r="E41" i="38"/>
  <c r="J27" i="15"/>
  <c r="E43" i="38"/>
  <c r="C15" i="55"/>
  <c r="Q63" i="1"/>
  <c r="R63" i="1" s="1"/>
  <c r="S63" i="1" s="1"/>
  <c r="Q19" i="1"/>
  <c r="R19" i="1" s="1"/>
  <c r="R71" i="1" l="1"/>
  <c r="D6" i="59"/>
  <c r="D6" i="60"/>
  <c r="D3" i="15"/>
  <c r="D3" i="59"/>
  <c r="E6" i="59"/>
  <c r="J6" i="59" s="1"/>
  <c r="C6" i="57"/>
  <c r="D6" i="57"/>
  <c r="F6" i="57" s="1"/>
  <c r="R6" i="15" s="1"/>
  <c r="G9" i="57"/>
  <c r="S9" i="15" s="1"/>
  <c r="E15" i="55"/>
  <c r="C11" i="55"/>
  <c r="C17" i="38"/>
  <c r="E17" i="38" s="1"/>
  <c r="C16" i="8"/>
  <c r="C12" i="53"/>
  <c r="G6" i="52"/>
  <c r="C12" i="39"/>
  <c r="E15" i="48"/>
  <c r="E12" i="48" s="1"/>
  <c r="D34" i="10"/>
  <c r="D31" i="39"/>
  <c r="F3" i="15"/>
  <c r="F26" i="10"/>
  <c r="C28" i="12"/>
  <c r="F20" i="39"/>
  <c r="F31" i="10"/>
  <c r="C15" i="12"/>
  <c r="F23" i="39"/>
  <c r="E9" i="15"/>
  <c r="E6" i="15"/>
  <c r="F44" i="10"/>
  <c r="F41" i="39"/>
  <c r="C41" i="12"/>
  <c r="D13" i="10"/>
  <c r="D12" i="39"/>
  <c r="C23" i="32"/>
  <c r="Q406" i="1"/>
  <c r="R406" i="1" s="1"/>
  <c r="Q405" i="1"/>
  <c r="R405" i="1" s="1"/>
  <c r="Q404" i="1"/>
  <c r="R404" i="1" s="1"/>
  <c r="D22" i="59" s="1"/>
  <c r="Q398" i="1"/>
  <c r="R398" i="1" s="1"/>
  <c r="Q387" i="1"/>
  <c r="R387" i="1" s="1"/>
  <c r="Q351" i="1"/>
  <c r="R351" i="1" s="1"/>
  <c r="Q340" i="1"/>
  <c r="R340" i="1" s="1"/>
  <c r="Q346" i="1"/>
  <c r="R346" i="1" s="1"/>
  <c r="D18" i="59" s="1"/>
  <c r="S71" i="1" l="1"/>
  <c r="D11" i="55" s="1"/>
  <c r="E6" i="60"/>
  <c r="J6" i="60" s="1"/>
  <c r="S398" i="1"/>
  <c r="E22" i="59"/>
  <c r="J22" i="59"/>
  <c r="J3" i="59"/>
  <c r="D23" i="55"/>
  <c r="D25" i="57"/>
  <c r="F25" i="57" s="1"/>
  <c r="R25" i="15" s="1"/>
  <c r="C25" i="57"/>
  <c r="G25" i="57" s="1"/>
  <c r="S25" i="15" s="1"/>
  <c r="G6" i="57"/>
  <c r="S6" i="15" s="1"/>
  <c r="E11" i="55"/>
  <c r="F15" i="48"/>
  <c r="F12" i="48" s="1"/>
  <c r="D22" i="15"/>
  <c r="D29" i="10" s="1"/>
  <c r="E18" i="10"/>
  <c r="E14" i="39"/>
  <c r="D15" i="36"/>
  <c r="E15" i="36"/>
  <c r="F34" i="10"/>
  <c r="F31" i="39"/>
  <c r="C23" i="12"/>
  <c r="C16" i="55"/>
  <c r="E21" i="15"/>
  <c r="E13" i="10"/>
  <c r="E12" i="39"/>
  <c r="E12" i="36"/>
  <c r="D12" i="36"/>
  <c r="F6" i="15"/>
  <c r="Q213" i="1"/>
  <c r="R213" i="1" s="1"/>
  <c r="Q439" i="1"/>
  <c r="R439" i="1" s="1"/>
  <c r="E14" i="59" l="1"/>
  <c r="J14" i="59" s="1"/>
  <c r="E7" i="60"/>
  <c r="J7" i="60" s="1"/>
  <c r="E16" i="55"/>
  <c r="D29" i="39"/>
  <c r="E24" i="10"/>
  <c r="E25" i="39"/>
  <c r="D18" i="36"/>
  <c r="E18" i="36"/>
  <c r="F13" i="10"/>
  <c r="F12" i="39"/>
  <c r="C13" i="12"/>
  <c r="R40" i="1"/>
  <c r="Q440" i="1"/>
  <c r="R440" i="1" s="1"/>
  <c r="D4" i="59" l="1"/>
  <c r="D16" i="60"/>
  <c r="S40" i="1"/>
  <c r="D22" i="55" s="1"/>
  <c r="D4" i="57"/>
  <c r="F4" i="57" s="1"/>
  <c r="R4" i="15" s="1"/>
  <c r="C22" i="55" s="1"/>
  <c r="C4" i="57"/>
  <c r="G4" i="57" s="1"/>
  <c r="S4" i="15" s="1"/>
  <c r="E4" i="15"/>
  <c r="E27" i="10" s="1"/>
  <c r="H8" i="15"/>
  <c r="H7" i="15"/>
  <c r="H6" i="15"/>
  <c r="H12" i="15"/>
  <c r="I12" i="15" s="1"/>
  <c r="H4" i="15"/>
  <c r="E22" i="55" l="1"/>
  <c r="D25" i="36"/>
  <c r="E26" i="39"/>
  <c r="E25" i="36"/>
  <c r="I4" i="15"/>
  <c r="I6" i="15"/>
  <c r="G15" i="48" s="1"/>
  <c r="G12" i="48" s="1"/>
  <c r="I7" i="15"/>
  <c r="E35" i="42" s="1"/>
  <c r="D24" i="38" s="1"/>
  <c r="I8" i="15"/>
  <c r="E38" i="42" s="1"/>
  <c r="D22" i="38" s="1"/>
  <c r="G5" i="15"/>
  <c r="G5" i="48" l="1"/>
  <c r="G6" i="48"/>
  <c r="E37" i="42"/>
  <c r="D18" i="38" s="1"/>
  <c r="E25" i="42"/>
  <c r="D31" i="38" s="1"/>
  <c r="J5" i="15"/>
  <c r="D50" i="38" l="1"/>
  <c r="H15" i="48"/>
  <c r="H12" i="48" s="1"/>
  <c r="C32" i="32"/>
  <c r="C41" i="8"/>
  <c r="Q438" i="1" l="1"/>
  <c r="R438" i="1" s="1"/>
  <c r="Q366" i="1"/>
  <c r="Q358" i="1"/>
  <c r="R358" i="1" s="1"/>
  <c r="E10" i="60" s="1"/>
  <c r="D19" i="15" l="1"/>
  <c r="E19" i="59"/>
  <c r="D25" i="15"/>
  <c r="E25" i="59"/>
  <c r="J25" i="59" s="1"/>
  <c r="D12" i="15"/>
  <c r="F12" i="15" s="1"/>
  <c r="D9" i="48"/>
  <c r="D17" i="10"/>
  <c r="D15" i="39"/>
  <c r="D28" i="10"/>
  <c r="D24" i="39"/>
  <c r="R366" i="1"/>
  <c r="Q348" i="1"/>
  <c r="R348" i="1" s="1"/>
  <c r="Q148" i="1"/>
  <c r="R148" i="1" s="1"/>
  <c r="E10" i="59" s="1"/>
  <c r="J10" i="59" s="1"/>
  <c r="Q147" i="1"/>
  <c r="R147" i="1" s="1"/>
  <c r="Q418" i="1"/>
  <c r="R418" i="1" s="1"/>
  <c r="Q397" i="1"/>
  <c r="Q386" i="1"/>
  <c r="Q383" i="1"/>
  <c r="Q371" i="1"/>
  <c r="Q219" i="1"/>
  <c r="R219" i="1" s="1"/>
  <c r="D14" i="15" s="1"/>
  <c r="D13" i="15"/>
  <c r="Q146" i="1"/>
  <c r="R146" i="1" s="1"/>
  <c r="Q145" i="1"/>
  <c r="R145" i="1" s="1"/>
  <c r="Q144" i="1"/>
  <c r="R144" i="1" s="1"/>
  <c r="D9" i="15"/>
  <c r="Q93" i="1"/>
  <c r="R93" i="1" s="1"/>
  <c r="Q89" i="1"/>
  <c r="R89" i="1" s="1"/>
  <c r="Q37" i="1"/>
  <c r="R37" i="1" s="1"/>
  <c r="E16" i="60" s="1"/>
  <c r="J16" i="60" s="1"/>
  <c r="D4" i="15" l="1"/>
  <c r="E4" i="59"/>
  <c r="D7" i="15"/>
  <c r="D7" i="59"/>
  <c r="D24" i="15"/>
  <c r="E24" i="59"/>
  <c r="J24" i="59" s="1"/>
  <c r="D18" i="15"/>
  <c r="E18" i="59"/>
  <c r="J18" i="59" s="1"/>
  <c r="D34" i="55"/>
  <c r="D7" i="57"/>
  <c r="F7" i="57" s="1"/>
  <c r="R7" i="15" s="1"/>
  <c r="C7" i="57"/>
  <c r="G7" i="57" s="1"/>
  <c r="S7" i="15" s="1"/>
  <c r="S366" i="1"/>
  <c r="D19" i="55" s="1"/>
  <c r="D19" i="57"/>
  <c r="F19" i="57" s="1"/>
  <c r="R19" i="15" s="1"/>
  <c r="C19" i="57"/>
  <c r="G19" i="57" s="1"/>
  <c r="S19" i="15" s="1"/>
  <c r="R383" i="1"/>
  <c r="E9" i="60" s="1"/>
  <c r="J9" i="60" s="1"/>
  <c r="D6" i="48"/>
  <c r="D9" i="10" s="1"/>
  <c r="F9" i="48"/>
  <c r="E8" i="41"/>
  <c r="K4" i="15" s="1"/>
  <c r="E12" i="41"/>
  <c r="K9" i="15" s="1"/>
  <c r="E16" i="41"/>
  <c r="K14" i="15" s="1"/>
  <c r="E20" i="41"/>
  <c r="K18" i="15" s="1"/>
  <c r="E24" i="41"/>
  <c r="K23" i="15" s="1"/>
  <c r="E28" i="41"/>
  <c r="K29" i="15" s="1"/>
  <c r="E32" i="41"/>
  <c r="K34" i="15" s="1"/>
  <c r="E36" i="41"/>
  <c r="K6" i="15" s="1"/>
  <c r="E40" i="41"/>
  <c r="K37" i="15" s="1"/>
  <c r="E44" i="41"/>
  <c r="K2" i="15" s="1"/>
  <c r="E9" i="41"/>
  <c r="K5" i="15" s="1"/>
  <c r="E13" i="41"/>
  <c r="K10" i="15" s="1"/>
  <c r="E17" i="41"/>
  <c r="K15" i="15" s="1"/>
  <c r="E21" i="41"/>
  <c r="K19" i="15" s="1"/>
  <c r="E25" i="41"/>
  <c r="K24" i="15" s="1"/>
  <c r="E29" i="41"/>
  <c r="K31" i="15" s="1"/>
  <c r="E33" i="41"/>
  <c r="K35" i="15" s="1"/>
  <c r="E37" i="41"/>
  <c r="K38" i="15" s="1"/>
  <c r="E41" i="41"/>
  <c r="K36" i="15" s="1"/>
  <c r="E45" i="41"/>
  <c r="K30" i="15" s="1"/>
  <c r="E10" i="41"/>
  <c r="K7" i="15" s="1"/>
  <c r="E14" i="41"/>
  <c r="K11" i="15" s="1"/>
  <c r="E18" i="41"/>
  <c r="K16" i="15" s="1"/>
  <c r="E22" i="41"/>
  <c r="K21" i="15" s="1"/>
  <c r="E26" i="41"/>
  <c r="K25" i="15" s="1"/>
  <c r="E30" i="41"/>
  <c r="K32" i="15" s="1"/>
  <c r="E34" i="41"/>
  <c r="E38" i="41"/>
  <c r="K20" i="15" s="1"/>
  <c r="E42" i="41"/>
  <c r="K27" i="15" s="1"/>
  <c r="E46" i="41"/>
  <c r="K12" i="15" s="1"/>
  <c r="E11" i="41"/>
  <c r="K8" i="15" s="1"/>
  <c r="E15" i="41"/>
  <c r="K13" i="15" s="1"/>
  <c r="E19" i="41"/>
  <c r="K17" i="15" s="1"/>
  <c r="E23" i="41"/>
  <c r="K22" i="15" s="1"/>
  <c r="E27" i="41"/>
  <c r="K28" i="15" s="1"/>
  <c r="E31" i="41"/>
  <c r="K33" i="15" s="1"/>
  <c r="E35" i="41"/>
  <c r="K39" i="15" s="1"/>
  <c r="E39" i="41"/>
  <c r="E43" i="41"/>
  <c r="K26" i="15" s="1"/>
  <c r="E7" i="41"/>
  <c r="K3" i="15" s="1"/>
  <c r="D10" i="15"/>
  <c r="D20" i="10" s="1"/>
  <c r="D18" i="10"/>
  <c r="D14" i="39"/>
  <c r="F9" i="15"/>
  <c r="C19" i="55"/>
  <c r="E19" i="15"/>
  <c r="D14" i="10"/>
  <c r="D13" i="39"/>
  <c r="F14" i="15"/>
  <c r="D38" i="10"/>
  <c r="D39" i="39"/>
  <c r="D30" i="10"/>
  <c r="D35" i="39"/>
  <c r="F13" i="15"/>
  <c r="D27" i="10"/>
  <c r="D26" i="39"/>
  <c r="F4" i="15"/>
  <c r="C34" i="55"/>
  <c r="E7" i="15"/>
  <c r="D47" i="10"/>
  <c r="D45" i="39"/>
  <c r="F24" i="15"/>
  <c r="D32" i="10"/>
  <c r="D36" i="39"/>
  <c r="F18" i="15"/>
  <c r="R386" i="1"/>
  <c r="R397" i="1"/>
  <c r="Q331" i="1"/>
  <c r="R331" i="1" s="1"/>
  <c r="D17" i="59" s="1"/>
  <c r="J17" i="59" s="1"/>
  <c r="G33" i="15"/>
  <c r="G8" i="15"/>
  <c r="Q334" i="1"/>
  <c r="R409" i="1"/>
  <c r="D23" i="59" s="1"/>
  <c r="J23" i="59" s="1"/>
  <c r="E34" i="55" l="1"/>
  <c r="D19" i="59"/>
  <c r="J19" i="59" s="1"/>
  <c r="D10" i="60"/>
  <c r="J10" i="60" s="1"/>
  <c r="D21" i="15"/>
  <c r="E21" i="59"/>
  <c r="J21" i="59" s="1"/>
  <c r="C20" i="52"/>
  <c r="E20" i="59"/>
  <c r="J20" i="59" s="1"/>
  <c r="J7" i="59"/>
  <c r="D46" i="59"/>
  <c r="D47" i="59" s="1"/>
  <c r="E46" i="59"/>
  <c r="E47" i="59" s="1"/>
  <c r="J4" i="59"/>
  <c r="E19" i="55"/>
  <c r="D23" i="57"/>
  <c r="F23" i="57" s="1"/>
  <c r="R23" i="15" s="1"/>
  <c r="C23" i="57"/>
  <c r="G23" i="57" s="1"/>
  <c r="S23" i="15" s="1"/>
  <c r="S397" i="1"/>
  <c r="D21" i="55" s="1"/>
  <c r="D50" i="55" s="1"/>
  <c r="C22" i="57"/>
  <c r="D22" i="57"/>
  <c r="F22" i="57" s="1"/>
  <c r="R22" i="15" s="1"/>
  <c r="C22" i="48"/>
  <c r="C20" i="48" s="1"/>
  <c r="C20" i="15"/>
  <c r="C16" i="39" s="1"/>
  <c r="C19" i="15"/>
  <c r="D19" i="52"/>
  <c r="G19" i="52" s="1"/>
  <c r="C15" i="53"/>
  <c r="C50" i="53" s="1"/>
  <c r="G20" i="52"/>
  <c r="F22" i="48"/>
  <c r="F20" i="48" s="1"/>
  <c r="F10" i="15"/>
  <c r="F20" i="10" s="1"/>
  <c r="F7" i="15"/>
  <c r="F38" i="10" s="1"/>
  <c r="D19" i="39"/>
  <c r="F32" i="10"/>
  <c r="F36" i="39"/>
  <c r="C27" i="12"/>
  <c r="C26" i="55"/>
  <c r="E26" i="55" s="1"/>
  <c r="E23" i="15"/>
  <c r="C29" i="55"/>
  <c r="E16" i="15"/>
  <c r="F30" i="10"/>
  <c r="F35" i="39"/>
  <c r="C26" i="12"/>
  <c r="F14" i="10"/>
  <c r="F13" i="39"/>
  <c r="C11" i="12"/>
  <c r="F18" i="10"/>
  <c r="F14" i="39"/>
  <c r="C21" i="12"/>
  <c r="E38" i="10"/>
  <c r="E30" i="36"/>
  <c r="E39" i="39"/>
  <c r="D30" i="36"/>
  <c r="E17" i="10"/>
  <c r="E23" i="36"/>
  <c r="E15" i="39"/>
  <c r="D23" i="36"/>
  <c r="D17" i="15"/>
  <c r="E22" i="15"/>
  <c r="C21" i="55"/>
  <c r="D24" i="10"/>
  <c r="D25" i="39"/>
  <c r="F21" i="15"/>
  <c r="F47" i="10"/>
  <c r="F45" i="39"/>
  <c r="C43" i="12"/>
  <c r="F19" i="15"/>
  <c r="F27" i="10"/>
  <c r="C18" i="12"/>
  <c r="F26" i="39"/>
  <c r="J33" i="15"/>
  <c r="C33" i="38" s="1"/>
  <c r="J8" i="15"/>
  <c r="C22" i="38" s="1"/>
  <c r="G29" i="15"/>
  <c r="G18" i="15"/>
  <c r="G32" i="15"/>
  <c r="G31" i="15"/>
  <c r="E21" i="55" l="1"/>
  <c r="G22" i="57"/>
  <c r="S22" i="15" s="1"/>
  <c r="F20" i="15"/>
  <c r="D16" i="53"/>
  <c r="D50" i="53" s="1"/>
  <c r="E29" i="55"/>
  <c r="C5" i="48"/>
  <c r="C15" i="10"/>
  <c r="C15" i="39"/>
  <c r="C50" i="39" s="1"/>
  <c r="C17" i="10"/>
  <c r="F39" i="39"/>
  <c r="C37" i="12"/>
  <c r="D5" i="48"/>
  <c r="D4" i="48" s="1"/>
  <c r="F6" i="48"/>
  <c r="F19" i="39"/>
  <c r="C19" i="12"/>
  <c r="C10" i="35"/>
  <c r="H10" i="35" s="1"/>
  <c r="H22" i="48"/>
  <c r="H20" i="48" s="1"/>
  <c r="E25" i="15"/>
  <c r="E5" i="48" s="1"/>
  <c r="E4" i="48" s="1"/>
  <c r="C23" i="55"/>
  <c r="C50" i="55" s="1"/>
  <c r="F17" i="10"/>
  <c r="F15" i="39"/>
  <c r="C14" i="12"/>
  <c r="F24" i="10"/>
  <c r="F25" i="39"/>
  <c r="C30" i="12"/>
  <c r="E29" i="10"/>
  <c r="E29" i="39"/>
  <c r="D26" i="36"/>
  <c r="E26" i="36"/>
  <c r="F22" i="15"/>
  <c r="E35" i="10"/>
  <c r="E38" i="39"/>
  <c r="E27" i="36"/>
  <c r="D27" i="36"/>
  <c r="F23" i="15"/>
  <c r="D36" i="10"/>
  <c r="D50" i="10" s="1"/>
  <c r="D37" i="39"/>
  <c r="D50" i="39" s="1"/>
  <c r="F17" i="15"/>
  <c r="G17" i="15" s="1"/>
  <c r="E23" i="10"/>
  <c r="E28" i="39"/>
  <c r="D16" i="36"/>
  <c r="E16" i="36"/>
  <c r="F16" i="15"/>
  <c r="C35" i="32"/>
  <c r="C36" i="8"/>
  <c r="C32" i="8"/>
  <c r="C33" i="32"/>
  <c r="E22" i="38"/>
  <c r="J29" i="15"/>
  <c r="C19" i="38" s="1"/>
  <c r="J31" i="15"/>
  <c r="C28" i="38" s="1"/>
  <c r="J32" i="15"/>
  <c r="C13" i="38" s="1"/>
  <c r="J18" i="15"/>
  <c r="C37" i="38" s="1"/>
  <c r="E33" i="38"/>
  <c r="G19" i="15"/>
  <c r="N15" i="15"/>
  <c r="N12" i="15"/>
  <c r="G21" i="15"/>
  <c r="G9" i="15"/>
  <c r="G11" i="15"/>
  <c r="G39" i="15"/>
  <c r="G20" i="15"/>
  <c r="G24" i="15"/>
  <c r="G15" i="15"/>
  <c r="G38" i="15"/>
  <c r="G10" i="15"/>
  <c r="G14" i="15"/>
  <c r="G7" i="15"/>
  <c r="G35" i="15"/>
  <c r="G12" i="15"/>
  <c r="J12" i="15" s="1"/>
  <c r="C50" i="10" l="1"/>
  <c r="C20" i="12"/>
  <c r="F15" i="10"/>
  <c r="F16" i="39"/>
  <c r="E23" i="55"/>
  <c r="E50" i="55" s="1"/>
  <c r="C4" i="48"/>
  <c r="F5" i="48"/>
  <c r="H5" i="48" s="1"/>
  <c r="H6" i="48"/>
  <c r="F9" i="10"/>
  <c r="F23" i="10"/>
  <c r="F28" i="39"/>
  <c r="C25" i="12"/>
  <c r="F35" i="10"/>
  <c r="C35" i="12"/>
  <c r="F38" i="39"/>
  <c r="F36" i="10"/>
  <c r="F37" i="39"/>
  <c r="C33" i="12"/>
  <c r="F29" i="10"/>
  <c r="F29" i="39"/>
  <c r="C34" i="12"/>
  <c r="E28" i="10"/>
  <c r="E50" i="10" s="1"/>
  <c r="E24" i="39"/>
  <c r="E50" i="39" s="1"/>
  <c r="D24" i="36"/>
  <c r="D50" i="36" s="1"/>
  <c r="E24" i="36"/>
  <c r="E50" i="36" s="1"/>
  <c r="F25" i="15"/>
  <c r="O15" i="15"/>
  <c r="D20" i="32" s="1"/>
  <c r="D9" i="12"/>
  <c r="P12" i="15"/>
  <c r="Q12" i="15" s="1"/>
  <c r="O12" i="15"/>
  <c r="C38" i="32"/>
  <c r="C33" i="8"/>
  <c r="C11" i="32"/>
  <c r="C14" i="8"/>
  <c r="C16" i="32"/>
  <c r="C19" i="8"/>
  <c r="C36" i="32"/>
  <c r="C42" i="8"/>
  <c r="E13" i="38"/>
  <c r="E37" i="38"/>
  <c r="E28" i="38"/>
  <c r="N27" i="15"/>
  <c r="N26" i="15"/>
  <c r="N36" i="15"/>
  <c r="N30" i="15"/>
  <c r="N2" i="15"/>
  <c r="N37" i="15"/>
  <c r="E19" i="38"/>
  <c r="J10" i="15"/>
  <c r="C23" i="38" s="1"/>
  <c r="J38" i="15"/>
  <c r="J24" i="15"/>
  <c r="C39" i="38" s="1"/>
  <c r="J9" i="15"/>
  <c r="C11" i="38" s="1"/>
  <c r="J11" i="15"/>
  <c r="C8" i="38" s="1"/>
  <c r="J35" i="15"/>
  <c r="C27" i="38" s="1"/>
  <c r="J7" i="15"/>
  <c r="C24" i="38" s="1"/>
  <c r="J20" i="15"/>
  <c r="C42" i="38" s="1"/>
  <c r="J17" i="15"/>
  <c r="C29" i="38" s="1"/>
  <c r="J14" i="15"/>
  <c r="C26" i="38" s="1"/>
  <c r="J15" i="15"/>
  <c r="C21" i="38" s="1"/>
  <c r="J39" i="15"/>
  <c r="C16" i="38" s="1"/>
  <c r="J19" i="15"/>
  <c r="C34" i="38" s="1"/>
  <c r="J21" i="15"/>
  <c r="C9" i="38" s="1"/>
  <c r="N39" i="15"/>
  <c r="N6" i="15"/>
  <c r="G22" i="15"/>
  <c r="G16" i="15"/>
  <c r="G34" i="15"/>
  <c r="G3" i="15"/>
  <c r="G6" i="15"/>
  <c r="G13" i="15"/>
  <c r="G28" i="15"/>
  <c r="G23" i="15"/>
  <c r="C14" i="38" l="1"/>
  <c r="E14" i="38" s="1"/>
  <c r="C15" i="38"/>
  <c r="F4" i="48"/>
  <c r="C9" i="35" s="1"/>
  <c r="F28" i="10"/>
  <c r="F50" i="10" s="1"/>
  <c r="F24" i="39"/>
  <c r="F50" i="39" s="1"/>
  <c r="C16" i="12"/>
  <c r="C50" i="12" s="1"/>
  <c r="P2" i="15"/>
  <c r="E32" i="12" s="1"/>
  <c r="O2" i="15"/>
  <c r="D39" i="32" s="1"/>
  <c r="D32" i="12"/>
  <c r="P27" i="15"/>
  <c r="E22" i="12" s="1"/>
  <c r="D22" i="12"/>
  <c r="O27" i="15"/>
  <c r="D23" i="32" s="1"/>
  <c r="P30" i="15"/>
  <c r="E40" i="12" s="1"/>
  <c r="D40" i="12"/>
  <c r="O30" i="15"/>
  <c r="D43" i="32" s="1"/>
  <c r="P36" i="15"/>
  <c r="E39" i="12" s="1"/>
  <c r="D39" i="12"/>
  <c r="O36" i="15"/>
  <c r="D41" i="32" s="1"/>
  <c r="O6" i="15"/>
  <c r="D22" i="32" s="1"/>
  <c r="D13" i="12"/>
  <c r="O39" i="15"/>
  <c r="D18" i="32" s="1"/>
  <c r="D8" i="12"/>
  <c r="P37" i="15"/>
  <c r="E47" i="12" s="1"/>
  <c r="D47" i="12"/>
  <c r="O37" i="15"/>
  <c r="D46" i="32" s="1"/>
  <c r="P26" i="15"/>
  <c r="E42" i="12" s="1"/>
  <c r="O26" i="15"/>
  <c r="D42" i="32" s="1"/>
  <c r="D42" i="12"/>
  <c r="C18" i="32"/>
  <c r="C12" i="8"/>
  <c r="C26" i="8"/>
  <c r="C24" i="32"/>
  <c r="C8" i="32"/>
  <c r="C8" i="8"/>
  <c r="C17" i="32"/>
  <c r="C20" i="8"/>
  <c r="C20" i="32"/>
  <c r="C21" i="8"/>
  <c r="C28" i="8"/>
  <c r="C28" i="32"/>
  <c r="C14" i="32"/>
  <c r="C17" i="8"/>
  <c r="C15" i="32"/>
  <c r="C11" i="8"/>
  <c r="C9" i="32"/>
  <c r="C9" i="8"/>
  <c r="C22" i="8"/>
  <c r="C19" i="32"/>
  <c r="C37" i="8"/>
  <c r="C37" i="32"/>
  <c r="C29" i="8"/>
  <c r="C31" i="32"/>
  <c r="C40" i="32"/>
  <c r="C35" i="8"/>
  <c r="C24" i="8"/>
  <c r="C21" i="32"/>
  <c r="E16" i="38"/>
  <c r="E27" i="38"/>
  <c r="E39" i="38"/>
  <c r="E21" i="38"/>
  <c r="E26" i="38"/>
  <c r="E42" i="38"/>
  <c r="E8" i="38"/>
  <c r="E23" i="38"/>
  <c r="E34" i="38"/>
  <c r="E29" i="38"/>
  <c r="J23" i="15"/>
  <c r="C25" i="38" s="1"/>
  <c r="J13" i="15"/>
  <c r="C30" i="38" s="1"/>
  <c r="J28" i="15"/>
  <c r="C10" i="38" s="1"/>
  <c r="J22" i="15"/>
  <c r="C12" i="38" s="1"/>
  <c r="J6" i="15"/>
  <c r="C18" i="38" s="1"/>
  <c r="J34" i="15"/>
  <c r="C38" i="38" s="1"/>
  <c r="E11" i="38"/>
  <c r="E24" i="38"/>
  <c r="J16" i="15"/>
  <c r="C20" i="38" s="1"/>
  <c r="E9" i="38"/>
  <c r="J3" i="15"/>
  <c r="C32" i="38" s="1"/>
  <c r="N34" i="15"/>
  <c r="N19" i="15"/>
  <c r="N18" i="15"/>
  <c r="N35" i="15"/>
  <c r="N20" i="15"/>
  <c r="N5" i="15"/>
  <c r="N24" i="15"/>
  <c r="N16" i="15"/>
  <c r="N31" i="15"/>
  <c r="N25" i="15"/>
  <c r="N3" i="15"/>
  <c r="N23" i="15"/>
  <c r="N9" i="15"/>
  <c r="N10" i="15"/>
  <c r="N7" i="15"/>
  <c r="N4" i="15"/>
  <c r="N13" i="15"/>
  <c r="N33" i="15"/>
  <c r="N38" i="15"/>
  <c r="N11" i="15"/>
  <c r="N8" i="15"/>
  <c r="N29" i="15"/>
  <c r="N14" i="15"/>
  <c r="N21" i="15"/>
  <c r="N17" i="15"/>
  <c r="N22" i="15"/>
  <c r="N32" i="15"/>
  <c r="N28" i="15"/>
  <c r="P6" i="15"/>
  <c r="P15" i="15"/>
  <c r="P39" i="15"/>
  <c r="G4" i="15"/>
  <c r="G25" i="15"/>
  <c r="C13" i="35" l="1"/>
  <c r="H9" i="35"/>
  <c r="H13" i="35" s="1"/>
  <c r="E15" i="38"/>
  <c r="G13" i="35"/>
  <c r="Q2" i="15"/>
  <c r="Q27" i="15"/>
  <c r="E23" i="32" s="1"/>
  <c r="Q36" i="15"/>
  <c r="E41" i="32" s="1"/>
  <c r="Q37" i="15"/>
  <c r="E46" i="32" s="1"/>
  <c r="Q30" i="15"/>
  <c r="D12" i="12"/>
  <c r="O28" i="15"/>
  <c r="D10" i="32" s="1"/>
  <c r="O11" i="15"/>
  <c r="D8" i="32" s="1"/>
  <c r="D29" i="12"/>
  <c r="O4" i="15"/>
  <c r="D25" i="32" s="1"/>
  <c r="D18" i="12"/>
  <c r="D35" i="12"/>
  <c r="O23" i="15"/>
  <c r="D30" i="32" s="1"/>
  <c r="O35" i="15"/>
  <c r="D21" i="32" s="1"/>
  <c r="D17" i="12"/>
  <c r="C41" i="36"/>
  <c r="C13" i="36"/>
  <c r="D28" i="12"/>
  <c r="O32" i="15"/>
  <c r="D11" i="32" s="1"/>
  <c r="D11" i="12"/>
  <c r="O14" i="15"/>
  <c r="D19" i="32" s="1"/>
  <c r="O38" i="15"/>
  <c r="D15" i="32" s="1"/>
  <c r="D10" i="12"/>
  <c r="D37" i="12"/>
  <c r="O7" i="15"/>
  <c r="D24" i="32" s="1"/>
  <c r="O3" i="15"/>
  <c r="D34" i="32" s="1"/>
  <c r="D23" i="12"/>
  <c r="D43" i="12"/>
  <c r="O24" i="15"/>
  <c r="D37" i="32" s="1"/>
  <c r="O18" i="15"/>
  <c r="D38" i="32" s="1"/>
  <c r="D27" i="12"/>
  <c r="O22" i="15"/>
  <c r="D12" i="32" s="1"/>
  <c r="D34" i="12"/>
  <c r="O19" i="15"/>
  <c r="D31" i="32" s="1"/>
  <c r="D14" i="12"/>
  <c r="D30" i="12"/>
  <c r="O21" i="15"/>
  <c r="D9" i="32" s="1"/>
  <c r="D25" i="12"/>
  <c r="O16" i="15"/>
  <c r="D13" i="32" s="1"/>
  <c r="D24" i="12"/>
  <c r="O29" i="15"/>
  <c r="D16" i="32" s="1"/>
  <c r="O33" i="15"/>
  <c r="D33" i="32" s="1"/>
  <c r="D38" i="12"/>
  <c r="D19" i="12"/>
  <c r="O10" i="15"/>
  <c r="D17" i="32" s="1"/>
  <c r="D16" i="12"/>
  <c r="O25" i="15"/>
  <c r="D26" i="32" s="1"/>
  <c r="D36" i="12"/>
  <c r="O5" i="15"/>
  <c r="D32" i="32" s="1"/>
  <c r="C35" i="36"/>
  <c r="E43" i="32"/>
  <c r="Q26" i="15"/>
  <c r="D33" i="12"/>
  <c r="O17" i="15"/>
  <c r="D28" i="32" s="1"/>
  <c r="D41" i="12"/>
  <c r="O8" i="15"/>
  <c r="D35" i="32" s="1"/>
  <c r="D26" i="12"/>
  <c r="O13" i="15"/>
  <c r="D29" i="32" s="1"/>
  <c r="O9" i="15"/>
  <c r="D14" i="32" s="1"/>
  <c r="D21" i="12"/>
  <c r="O31" i="15"/>
  <c r="D36" i="32" s="1"/>
  <c r="D31" i="12"/>
  <c r="D20" i="12"/>
  <c r="O20" i="15"/>
  <c r="D40" i="32" s="1"/>
  <c r="D15" i="12"/>
  <c r="O34" i="15"/>
  <c r="D27" i="32" s="1"/>
  <c r="C19" i="36"/>
  <c r="E39" i="32"/>
  <c r="C44" i="36"/>
  <c r="C34" i="8"/>
  <c r="C34" i="32"/>
  <c r="C22" i="32"/>
  <c r="C15" i="8"/>
  <c r="C10" i="32"/>
  <c r="C10" i="8"/>
  <c r="C23" i="8"/>
  <c r="C30" i="32"/>
  <c r="C13" i="8"/>
  <c r="C12" i="32"/>
  <c r="C29" i="32"/>
  <c r="C25" i="8"/>
  <c r="C18" i="8"/>
  <c r="C13" i="32"/>
  <c r="C27" i="32"/>
  <c r="C40" i="8"/>
  <c r="E10" i="38"/>
  <c r="E25" i="38"/>
  <c r="E12" i="38"/>
  <c r="E30" i="38"/>
  <c r="E18" i="38"/>
  <c r="E20" i="38"/>
  <c r="E38" i="38"/>
  <c r="J4" i="15"/>
  <c r="C31" i="38" s="1"/>
  <c r="J25" i="15"/>
  <c r="C36" i="38" s="1"/>
  <c r="E8" i="12"/>
  <c r="Q15" i="15"/>
  <c r="E9" i="12"/>
  <c r="Q6" i="15"/>
  <c r="E13" i="12"/>
  <c r="E32" i="38"/>
  <c r="P29" i="15"/>
  <c r="P33" i="15"/>
  <c r="P5" i="15"/>
  <c r="P19" i="15"/>
  <c r="P13" i="15"/>
  <c r="P9" i="15"/>
  <c r="P31" i="15"/>
  <c r="P34" i="15"/>
  <c r="P21" i="15"/>
  <c r="P16" i="15"/>
  <c r="P35" i="15"/>
  <c r="P32" i="15"/>
  <c r="P38" i="15"/>
  <c r="P17" i="15"/>
  <c r="P28" i="15"/>
  <c r="P4" i="15"/>
  <c r="P11" i="15"/>
  <c r="P20" i="15"/>
  <c r="P23" i="15"/>
  <c r="P7" i="15"/>
  <c r="P24" i="15"/>
  <c r="P18" i="15"/>
  <c r="P8" i="15"/>
  <c r="P25" i="15"/>
  <c r="P3" i="15"/>
  <c r="P10" i="15"/>
  <c r="P22" i="15"/>
  <c r="P14" i="15"/>
  <c r="Q39" i="15"/>
  <c r="C50" i="38" l="1"/>
  <c r="D50" i="12"/>
  <c r="D50" i="32"/>
  <c r="C8" i="36"/>
  <c r="E18" i="32"/>
  <c r="C12" i="36"/>
  <c r="E22" i="32"/>
  <c r="C11" i="36"/>
  <c r="E20" i="32"/>
  <c r="C31" i="36"/>
  <c r="E42" i="32"/>
  <c r="C30" i="8"/>
  <c r="C26" i="32"/>
  <c r="C27" i="8"/>
  <c r="C50" i="8" s="1"/>
  <c r="C25" i="32"/>
  <c r="E31" i="38"/>
  <c r="I20" i="39"/>
  <c r="E36" i="38"/>
  <c r="I9" i="39"/>
  <c r="I36" i="39"/>
  <c r="I24" i="39"/>
  <c r="I42" i="39"/>
  <c r="I40" i="39"/>
  <c r="I12" i="39"/>
  <c r="I43" i="39"/>
  <c r="I26" i="39"/>
  <c r="I25" i="39"/>
  <c r="I17" i="39"/>
  <c r="I22" i="39"/>
  <c r="I28" i="39"/>
  <c r="I32" i="39"/>
  <c r="E37" i="12"/>
  <c r="E20" i="12"/>
  <c r="E21" i="12"/>
  <c r="E38" i="12"/>
  <c r="E41" i="12"/>
  <c r="E18" i="12"/>
  <c r="E30" i="12"/>
  <c r="E24" i="12"/>
  <c r="I27" i="39"/>
  <c r="I39" i="39"/>
  <c r="I37" i="39"/>
  <c r="I19" i="39"/>
  <c r="I34" i="39"/>
  <c r="I31" i="39"/>
  <c r="I8" i="39"/>
  <c r="I29" i="39"/>
  <c r="E19" i="12"/>
  <c r="E27" i="12"/>
  <c r="E15" i="12"/>
  <c r="I41" i="39"/>
  <c r="I14" i="39"/>
  <c r="I23" i="39"/>
  <c r="I21" i="39"/>
  <c r="I11" i="39"/>
  <c r="I35" i="39"/>
  <c r="I30" i="39"/>
  <c r="I16" i="39"/>
  <c r="E23" i="12"/>
  <c r="E43" i="12"/>
  <c r="E35" i="12"/>
  <c r="E12" i="12"/>
  <c r="E33" i="12"/>
  <c r="E17" i="12"/>
  <c r="E36" i="12"/>
  <c r="I15" i="39"/>
  <c r="I33" i="39"/>
  <c r="I18" i="39"/>
  <c r="I45" i="39"/>
  <c r="I38" i="39"/>
  <c r="I10" i="39"/>
  <c r="I13" i="39"/>
  <c r="Q17" i="15"/>
  <c r="Q35" i="15"/>
  <c r="Q5" i="15"/>
  <c r="Q23" i="15"/>
  <c r="Q29" i="15"/>
  <c r="Q21" i="15"/>
  <c r="Q33" i="15"/>
  <c r="Q32" i="15"/>
  <c r="E28" i="12"/>
  <c r="Q14" i="15"/>
  <c r="E11" i="12"/>
  <c r="Q38" i="15"/>
  <c r="E10" i="12"/>
  <c r="Q16" i="15"/>
  <c r="E25" i="12"/>
  <c r="Q9" i="15"/>
  <c r="Q28" i="15"/>
  <c r="Q22" i="15"/>
  <c r="E34" i="12"/>
  <c r="Q13" i="15"/>
  <c r="E26" i="12"/>
  <c r="Q19" i="15"/>
  <c r="E14" i="12"/>
  <c r="Q31" i="15"/>
  <c r="E31" i="12"/>
  <c r="Q34" i="15"/>
  <c r="Q25" i="15"/>
  <c r="E16" i="12"/>
  <c r="Q11" i="15"/>
  <c r="E29" i="12"/>
  <c r="Q3" i="15"/>
  <c r="Q18" i="15"/>
  <c r="Q10" i="15"/>
  <c r="Q4" i="15"/>
  <c r="Q20" i="15"/>
  <c r="Q7" i="15"/>
  <c r="Q8" i="15"/>
  <c r="Q24" i="15"/>
  <c r="C50" i="32" l="1"/>
  <c r="I50" i="39"/>
  <c r="E50" i="38"/>
  <c r="E50" i="12"/>
  <c r="C33" i="36"/>
  <c r="E33" i="32"/>
  <c r="C25" i="36"/>
  <c r="E25" i="32"/>
  <c r="C28" i="36"/>
  <c r="E27" i="32"/>
  <c r="C23" i="36"/>
  <c r="E31" i="32"/>
  <c r="C26" i="36"/>
  <c r="E12" i="32"/>
  <c r="C16" i="36"/>
  <c r="E13" i="32"/>
  <c r="C22" i="36"/>
  <c r="E19" i="32"/>
  <c r="C18" i="36"/>
  <c r="E9" i="32"/>
  <c r="C20" i="36"/>
  <c r="E21" i="32"/>
  <c r="C38" i="36"/>
  <c r="E40" i="32"/>
  <c r="C24" i="36"/>
  <c r="E26" i="32"/>
  <c r="C34" i="36"/>
  <c r="E32" i="32"/>
  <c r="C10" i="36"/>
  <c r="E10" i="32"/>
  <c r="C32" i="36"/>
  <c r="E16" i="32"/>
  <c r="C39" i="36"/>
  <c r="E28" i="32"/>
  <c r="C43" i="36"/>
  <c r="E37" i="32"/>
  <c r="C36" i="36"/>
  <c r="E34" i="32"/>
  <c r="C42" i="36"/>
  <c r="E35" i="32"/>
  <c r="C14" i="36"/>
  <c r="E17" i="32"/>
  <c r="C17" i="36"/>
  <c r="E8" i="32"/>
  <c r="C30" i="36"/>
  <c r="E24" i="32"/>
  <c r="C40" i="36"/>
  <c r="E38" i="32"/>
  <c r="C37" i="36"/>
  <c r="E36" i="32"/>
  <c r="C29" i="36"/>
  <c r="E29" i="32"/>
  <c r="C15" i="36"/>
  <c r="E14" i="32"/>
  <c r="C9" i="36"/>
  <c r="E15" i="32"/>
  <c r="C21" i="36"/>
  <c r="E11" i="32"/>
  <c r="C27" i="36"/>
  <c r="E30" i="32"/>
  <c r="C50" i="36" l="1"/>
  <c r="E50" i="32"/>
  <c r="G21" i="53"/>
  <c r="G30" i="53"/>
  <c r="G31" i="53"/>
  <c r="G12" i="53"/>
  <c r="G32" i="53"/>
  <c r="G33" i="53"/>
  <c r="G27" i="53"/>
  <c r="G23" i="53"/>
  <c r="G34" i="53"/>
  <c r="G20" i="53"/>
  <c r="G11" i="53"/>
  <c r="G13" i="53"/>
  <c r="G35" i="53"/>
  <c r="G36" i="53"/>
  <c r="G37" i="53"/>
  <c r="G16" i="53"/>
  <c r="G15" i="53"/>
  <c r="G24" i="53"/>
  <c r="G26" i="53"/>
  <c r="G38" i="53"/>
  <c r="G39" i="53"/>
  <c r="G19" i="53"/>
  <c r="G40" i="53"/>
  <c r="G22" i="53"/>
  <c r="G14" i="53"/>
  <c r="G17" i="53"/>
  <c r="G41" i="53"/>
  <c r="G42" i="53"/>
  <c r="G43" i="53"/>
  <c r="G28" i="53"/>
  <c r="G44" i="53"/>
  <c r="G18" i="53"/>
  <c r="G45" i="53"/>
  <c r="G46" i="53"/>
  <c r="G10" i="53"/>
  <c r="G9" i="53"/>
  <c r="G29" i="53"/>
  <c r="G8" i="53" l="1"/>
  <c r="G50" i="53" s="1"/>
  <c r="C31" i="56"/>
  <c r="F31"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Frank</author>
  </authors>
  <commentList>
    <comment ref="C14" authorId="0" shapeId="0" xr:uid="{00000000-0006-0000-1600-000001000000}">
      <text>
        <r>
          <rPr>
            <b/>
            <sz val="9"/>
            <color indexed="81"/>
            <rFont val="Tahoma"/>
            <family val="2"/>
          </rPr>
          <t>Andre Frank:</t>
        </r>
        <r>
          <rPr>
            <sz val="9"/>
            <color indexed="81"/>
            <rFont val="Tahoma"/>
            <family val="2"/>
          </rPr>
          <t xml:space="preserve">
2019 value since 2020 was not available from the World Bank</t>
        </r>
      </text>
    </comment>
    <comment ref="C38" authorId="0" shapeId="0" xr:uid="{00000000-0006-0000-1600-000002000000}">
      <text>
        <r>
          <rPr>
            <b/>
            <sz val="9"/>
            <color indexed="81"/>
            <rFont val="Tahoma"/>
            <family val="2"/>
          </rPr>
          <t>Andre Frank:</t>
        </r>
        <r>
          <rPr>
            <sz val="9"/>
            <color indexed="81"/>
            <rFont val="Tahoma"/>
            <family val="2"/>
          </rPr>
          <t xml:space="preserve">
2019 value since 2020 was not available. </t>
        </r>
      </text>
    </comment>
    <comment ref="C43" authorId="0" shapeId="0" xr:uid="{00000000-0006-0000-1600-000003000000}">
      <text>
        <r>
          <rPr>
            <b/>
            <sz val="9"/>
            <color indexed="81"/>
            <rFont val="Tahoma"/>
            <family val="2"/>
          </rPr>
          <t>Andre Frank:</t>
        </r>
        <r>
          <rPr>
            <sz val="9"/>
            <color indexed="81"/>
            <rFont val="Tahoma"/>
            <family val="2"/>
          </rPr>
          <t xml:space="preserve">
2019 value since 2020 was not available.</t>
        </r>
      </text>
    </comment>
  </commentList>
</comments>
</file>

<file path=xl/sharedStrings.xml><?xml version="1.0" encoding="utf-8"?>
<sst xmlns="http://schemas.openxmlformats.org/spreadsheetml/2006/main" count="17639" uniqueCount="2836">
  <si>
    <t>Ukraine Support Tracker – 4th Version, July 2022</t>
  </si>
  <si>
    <t>Kiel Working Paper No. 2218</t>
  </si>
  <si>
    <t>By Arianna Antezza, André Frank, Pascal Frank, Lukas Franz, Ekaterina Rebinskaya, Christoph Trebesch. 2022.</t>
  </si>
  <si>
    <t>The Ukraine Support Tracker: Which countries help Ukraine and how?</t>
  </si>
  <si>
    <t xml:space="preserve"> – Feedback and comments on our paper and database are highly appreciated (ukrainetracker@ifw-kiel.de) –</t>
  </si>
  <si>
    <t>Citation</t>
  </si>
  <si>
    <t>When using the data please cite as follows: Antezza, A., Frank, A., Frank, P., Franz, L., Rebinskaya, E. &amp; Trebesch, C. (2022). "The Ukraine Support Tracker: Which countries help Ukraine and how?". Kiel Working Paper, No. 2218</t>
  </si>
  <si>
    <t>I. Scope of the database</t>
  </si>
  <si>
    <t xml:space="preserve"> </t>
  </si>
  <si>
    <t>Our database lists and quantifies military, financial and humanitarian aid transferred by governments to Ukraine since the end of diplomatic relations between Russia and Ukraine on January 24 until July 1, 2022. We focus on commitments from Western governments, namely by G7 and European Union member countries. We quantify government-to-government commitments, and provide preliminary (non-exhaustive) data on non-bilateral aid. To value in-kind support like military equipment or weapons, we use market prices and consider upper bounds to avoid underestimating the true extent of bilateral assistance.</t>
  </si>
  <si>
    <r>
      <t>Country sample</t>
    </r>
    <r>
      <rPr>
        <b/>
        <sz val="11"/>
        <rFont val="Times Roman"/>
      </rPr>
      <t>:</t>
    </r>
  </si>
  <si>
    <t>We focus on bilateral donors. The largest group are the 27 EU member countries. Besides, we include the (remaining) G7 countries plus Australia, China, India, New Zealand, Norway, South Korea, Switzerland, Taiwan, and Turkey. Moreover, we include assistance provided by the EU in the core database under EU (Commission and Council), European Peace Facility, European Investment Bank.</t>
  </si>
  <si>
    <r>
      <t>Forms of assistance</t>
    </r>
    <r>
      <rPr>
        <b/>
        <sz val="11"/>
        <rFont val="Times Roman"/>
      </rPr>
      <t>:</t>
    </r>
  </si>
  <si>
    <t>Military assistance includes all types of weapons and military equipment alongside items donated to the Ukrainian army as well as financial assistance tied for military purposes. Humanitarian aid refers to assistance supporting the civilian population (mainly food, medicines, and other relief items). Financial assistance includes grants, loans, guarantees and swap-lines.</t>
  </si>
  <si>
    <r>
      <t>Commitments vs. disbursements</t>
    </r>
    <r>
      <rPr>
        <b/>
        <sz val="11"/>
        <rFont val="Times Roman"/>
      </rPr>
      <t>:</t>
    </r>
  </si>
  <si>
    <t xml:space="preserve">We primarily report commitments. However whenever information on deliveries or disbursements is available, we report these values including a source. </t>
  </si>
  <si>
    <r>
      <t>Valuing in-kind donations</t>
    </r>
    <r>
      <rPr>
        <b/>
        <sz val="11"/>
        <color rgb="FF000000"/>
        <rFont val="Times Roman"/>
      </rPr>
      <t>:</t>
    </r>
  </si>
  <si>
    <t>We generally use upper bounds for prices to avoid underestimating the true scale of assistance. Please refer to the corresponding paper for price sources and further explanations.</t>
  </si>
  <si>
    <t>II. Contents</t>
  </si>
  <si>
    <t>Updates and Corrections</t>
  </si>
  <si>
    <t xml:space="preserve">This sheet contains an update log about significant changes between releases in the dataset as well as an error corrections log. </t>
  </si>
  <si>
    <t> </t>
  </si>
  <si>
    <t>MAIN DATASET</t>
  </si>
  <si>
    <t>This sheet contains the data on bilateral (government-to-government) aid to Ukraine. It lists the donor country, the announcement date, the type of aid, specification about the in-kind items as well as total values of donations and the corresponding sources. Moreover, column J classifies the items according to the following scheme: humanitarian = 0, military equipment = 1,  light armaments &amp; infantry = 2, ammunition for light infantry = 2.5, portable defence system= 3, ammunition for portable defence system= 3.5, heavy artillery = 4, ammunition for heavy artillery= 4.5, aviation and drones = 5, air-launched ammunition= 5,5. Column K is a dummy providing info whether the item is of Soviet Origin (=1). From this fourth version of the dataset, we also track the delivery of military aid commitments, resulting in two additional columns. While column M informs about the amount of in-kind delivered items that have been committed, column S informs about the respective monetary value in EUR that sums up the value of the delivered military aid. Lastly, we also added a column to document the sources as evidence of the delivery of the military items (column AA).</t>
  </si>
  <si>
    <t>Non-Bilateral Aid</t>
  </si>
  <si>
    <t>This sheet contains the data on non-bilateral aid to Ukraine. Similar to the Main Dataset, it lists information about the donor entity, type of aid, specifications about the donation as well as sources.</t>
  </si>
  <si>
    <t>AGGREGATES  by country</t>
  </si>
  <si>
    <t>Contains important aggregate numbers for all countries like the sum of financial, humanitarian and military donations as well as EU aid shares for EU countries and aid numbers in percentage of GDP. The sheet also contains a majority of the data used in the Figure Sheets.</t>
  </si>
  <si>
    <t>Currency Conversion</t>
  </si>
  <si>
    <t>Contains currency conversion rates for all non-EUR currencies in the dataset (monthly average if available), as well as a link to the respective source site at the ECB.</t>
  </si>
  <si>
    <t>Prices</t>
  </si>
  <si>
    <t xml:space="preserve">Contains a list with all the in-kind items present in the database, as well as price estimates and sources for these estimates, if available. </t>
  </si>
  <si>
    <t>AGGREGATES by group</t>
  </si>
  <si>
    <t>Contains additional aggregate numbers intented to give quick overviews over the contributions of certain donor groups (EU, Anglosaxon, other countries, non-bilateral donors). Figure sheets draw their numbers from this sheet as well.</t>
  </si>
  <si>
    <t>EU aid share calculation</t>
  </si>
  <si>
    <t>Contains EU Budget calculations. The sheet is intended to make the calculation of EU aid shares more transparent and is an auxiliary sheet.</t>
  </si>
  <si>
    <t>EPF aid share calculation</t>
  </si>
  <si>
    <t>Contains EPF share calculations. This sheet is intended to make calculations of EPF shares more transparent and is an auxiliary sheet.</t>
  </si>
  <si>
    <t>EIB aid share calculation</t>
  </si>
  <si>
    <t xml:space="preserve">Contains EIB share calculations. This sheet is intended to make calculations of EIB shares more transparent and is an auxiliary sheet. </t>
  </si>
  <si>
    <t>Financial Aid seperated by type</t>
  </si>
  <si>
    <t>Contains information regarding the composition of financial commitments. All financial commitments from the Main Dataset have been seperated into loans, grants, guarantees, central bank swap lines and combinatory commitments of unclear nature. The sheet is intended for informatory purposes and provides the data for the graph showing the composition of financial aid.</t>
  </si>
  <si>
    <t>Refugee Costs &amp; Aid calculations</t>
  </si>
  <si>
    <t>Contains information on the number of individual refugees from Ukraine recorded across Europe as well as the associated costs in € billion and in percent of GDP.</t>
  </si>
  <si>
    <t>Military aid by type</t>
  </si>
  <si>
    <t>Contains information on the seperation of military aid into military in-kind aid and financial aid with military purpose, on country level. Also contains information on country cases that require manual correction, as well as a reasoning behind it.</t>
  </si>
  <si>
    <t>Figure 1 Western Countries</t>
  </si>
  <si>
    <t>Contains a Figure with the overview over what Western countries committed in terms of aid over all past data releases.</t>
  </si>
  <si>
    <t>Figure 2 Type of Aid</t>
  </si>
  <si>
    <t>Contains a Figure with a country ranking of bilateral aid commitments, seperated by type of aid, in billion EUR.</t>
  </si>
  <si>
    <t>Figure 3 Ranking as % of GDP</t>
  </si>
  <si>
    <t>Contains a Figure with a country ranking of total bilateral aid commitments, in % of the donor countries GDP. The GDP data is reported in the Sheet "AGGREGATES" and is taken from the World Bank (2020).</t>
  </si>
  <si>
    <t>Figure 4 Ranking as % of GDP with EU</t>
  </si>
  <si>
    <t xml:space="preserve">Contains a figure with a country ranking analogously to Figure 3. Additionally, each EU member country receives aid shares from the total committed aid by the EU. EU Aid shares include EU (Commission and Council), EPF and EIB. The figure displays values in % of donor GDP. </t>
  </si>
  <si>
    <t>Figure 5 Military Aid</t>
  </si>
  <si>
    <t xml:space="preserve">Contains a figure with a country ranking regarding military aid, which is further divided into in-kind military aid and financial aid with military purpose, all displayed in billion EUR. </t>
  </si>
  <si>
    <t>Figure 6 Financial Aid</t>
  </si>
  <si>
    <t xml:space="preserve">Contains a figure with a country ranking regarding financial aid, which is further divided into subclasses and displayed in billion EUR. The amounts are taken from the sheet "Financial Aid seperated by Type". </t>
  </si>
  <si>
    <t>Figure 7 Foreign Budg. Support</t>
  </si>
  <si>
    <t>Contains a figure with a country ranking regarding the total committed budgetary aid. The figure shows the budgetary aid committed, the budegtary aid disbursed and</t>
  </si>
  <si>
    <t>the share of the budgetary aid disbursed over the budgetary aid committed.</t>
  </si>
  <si>
    <t>Figure 8 Mil. in-kind, country</t>
  </si>
  <si>
    <t>Contains a figure with a country ranking regarding the committed military in-kind aid. The figure also shows the military in-kind aid which has been disbursed, by country.</t>
  </si>
  <si>
    <t>Figure 9 Total Refugee Cost Est</t>
  </si>
  <si>
    <t xml:space="preserve">Contains a stacked figure with 3 different cost estimations for the reported refugee numbers outside of Ukraine, displayed in billion EUR. </t>
  </si>
  <si>
    <t>Figure 10 Aid Type + Refugees (€)</t>
  </si>
  <si>
    <t xml:space="preserve">Contains a stacked figure analogously to Figure 2 which adds a medium cost estimation for refugees as an additional country contribution and displays in in billion EUR. </t>
  </si>
  <si>
    <t>Figure 11 Bil. Aid + Refugee (%)</t>
  </si>
  <si>
    <t>Contains a stacked figure analogously to Figure 3 which adds a medium cost estimation for refugees as an additional country contribution and displays it in % of GDP.</t>
  </si>
  <si>
    <t>Figure A1 Ranking in € with EU</t>
  </si>
  <si>
    <t>Contains a figure with a country ranking analogously to Figure 2 for total assistance. Additionally, each EU member country receives aid shares from the total committed aid by the EU. EU Aid shares include EU (Commission and Council), EPF and EIB. The figure displays values in € billion.</t>
  </si>
  <si>
    <t>Figure A2 Stand up for Ukraine</t>
  </si>
  <si>
    <t>Contains a figure with information over the country pledges during the "Stand up for Ukraine" Event, displayed in billion EUR.</t>
  </si>
  <si>
    <t>Updates and Comments - 5th RELEASE going until July 1, 2022</t>
  </si>
  <si>
    <t>Major new commitments</t>
  </si>
  <si>
    <t>The United Kingdom committed £1.2 (€1.55) billion in military assistance on June 30. Despite the United Kingdom remanining in 3d place in the ranking of total aid, this new commitment shifts its</t>
  </si>
  <si>
    <t xml:space="preserve">position in the ranking of total aid in percent of GDP, bringing the United Kingdom from 6th to 5th place (0.05% increase). </t>
  </si>
  <si>
    <t xml:space="preserve">The European Union committed €205 million in humanitarian assistance, thus remaining in 2nd place in the ranking of total aid. </t>
  </si>
  <si>
    <t xml:space="preserve">Poland committed €100 million in military assistance, thus remaining in 5th place in the ranking of total aid. </t>
  </si>
  <si>
    <t xml:space="preserve">Canada committed C$200 million (€148 million) in financial assistance through loans, thus remaining in 6th place in the ranking. </t>
  </si>
  <si>
    <t xml:space="preserve">Slovakia committed €50 million in military assistance (weapons), thus moving from 12th to 7th place in the ranking of total aid in percent of GDP (0.05% increase). </t>
  </si>
  <si>
    <t>Major new deliveries/disbursements</t>
  </si>
  <si>
    <t xml:space="preserve">Canada delivered €295 million of its in-kind military assistance, thus remaining 4t in the ranking of delivered in-kind military assistance. </t>
  </si>
  <si>
    <t xml:space="preserve">Denmark delivered €107 million of its in-kind military assistance, thus moving from 16th to 10th in the ranking of delivered in-kind military assistance. </t>
  </si>
  <si>
    <t xml:space="preserve">Poland delivered €100 million of its in-kind military assistance, thus remaining 2nd in the ranking of delivered in-kind military assistance. </t>
  </si>
  <si>
    <t xml:space="preserve">Canada disbursed €175 million in budgetary support, thus moving from 3d to 2nd place in the ranking of disbursed budgetary support. </t>
  </si>
  <si>
    <t xml:space="preserve">Japan disbursed €452 million in budegtary support, thus moving from 8th to 4th in the ranking of disbursed budgetary support. </t>
  </si>
  <si>
    <t>Major disclosures</t>
  </si>
  <si>
    <t xml:space="preserve">On July 1, Germany published a list of committed and delivered military items to Ukraine. This list contained items specified in our previous release, along with new </t>
  </si>
  <si>
    <t xml:space="preserve">equipment amounting to €80 million. The additional military equipment does not change the position of Germany in the ranking of total aid (4th place). </t>
  </si>
  <si>
    <t>Major corrections</t>
  </si>
  <si>
    <t xml:space="preserve">No major corrections in this release. </t>
  </si>
  <si>
    <t>Updates and Comments - 4th RELEASE going until June 7, 2022</t>
  </si>
  <si>
    <t>The European Union committed an additional amount of €9.5 billion, raising from 3rd to 2nd in the ranking of total aid:</t>
  </si>
  <si>
    <t>€9 billion in financial assistance through the Macro-Financial Assistance facility</t>
  </si>
  <si>
    <t>€500 million in military assistance through the European Peace Facility</t>
  </si>
  <si>
    <t>Germany committed €1 billion in financial assistance, thus moving from 5th to 4th in the ranking of total aid.</t>
  </si>
  <si>
    <t>Japan committed $300 (€278) million in financial assistance, thus moving from 11th to 8th in the ranking of total aid.</t>
  </si>
  <si>
    <t>Lithuania committed €15.5 million in military assistance, thus moving from 5th to 4th in the ranking of total aid in percent of GDP (0.11% increase).</t>
  </si>
  <si>
    <t>The Czech Republic committed €175.27 million in new assistance (€107.30 million in military and €67.97 million in humanitarian), thus moving from from 12th to 7th in the ranking of total aid in</t>
  </si>
  <si>
    <t>percent of GDP (0.08% increase).</t>
  </si>
  <si>
    <t>Norway committed €160.2 million in new assistance (€155.3 million in military and €4.9 million in financial), thus moving from from 9th to 8th in the ranking of total aid in percent of GDP (0.06% increase).</t>
  </si>
  <si>
    <t>Greece committed €231.58 million in military assistance, thus moving from from 29th to 10th in the ranking of total aid in percent of GDP (0.13% increase).</t>
  </si>
  <si>
    <t>Portugal committed €250 million in financial assistance, thus moving from from 35th to 11th in the ranking of total aid in percent of GDP (0.12% increase).</t>
  </si>
  <si>
    <t xml:space="preserve">No major disclosure of previously committed aid. </t>
  </si>
  <si>
    <t xml:space="preserve">Figure 5, "Military aid": We counted for the US a total of 13.93 billion EUR of military aid commitments that were tied to some specific weapon and equipment delivery. </t>
  </si>
  <si>
    <t>However, this included also 11 billion USD of presidential drawdowns that are so far only used for a commitment of 700 million USD specifically tied to weapon deliveries.</t>
  </si>
  <si>
    <t>Hence, we correct this and disentangle the 11 billion USD accordingly as 700 million USD tied to weapon and equipment deliveries and the remaining part as financial aid</t>
  </si>
  <si>
    <t>with military purpose.</t>
  </si>
  <si>
    <t>Updates and Comments - 3rd RELEASE going until May 10, 2022</t>
  </si>
  <si>
    <r>
      <t xml:space="preserve">The </t>
    </r>
    <r>
      <rPr>
        <u/>
        <sz val="11"/>
        <color theme="1"/>
        <rFont val="Times New Roman"/>
        <family val="1"/>
      </rPr>
      <t>United States</t>
    </r>
    <r>
      <rPr>
        <sz val="11"/>
        <color theme="1"/>
        <rFont val="Times New Roman"/>
        <family val="1"/>
      </rPr>
      <t xml:space="preserve"> committed and additional amount of $21.1 (€19.99) billion in </t>
    </r>
    <r>
      <rPr>
        <i/>
        <sz val="11"/>
        <color theme="1"/>
        <rFont val="Times New Roman"/>
        <family val="1"/>
      </rPr>
      <t>military assistance</t>
    </r>
    <r>
      <rPr>
        <sz val="11"/>
        <color theme="1"/>
        <rFont val="Times New Roman"/>
        <family val="1"/>
      </rPr>
      <t xml:space="preserve"> on May 10:</t>
    </r>
  </si>
  <si>
    <t>$ 11 billion in Presidential Drawdowns</t>
  </si>
  <si>
    <t>$ 6 billion for the Ukraine Security Assistance Initiative</t>
  </si>
  <si>
    <t>$ 4 billion for the Foreign Military Financing Program</t>
  </si>
  <si>
    <t>$ 100 million for non-proliferation, anti-terrorism, demining and related programs</t>
  </si>
  <si>
    <r>
      <t xml:space="preserve">The </t>
    </r>
    <r>
      <rPr>
        <u/>
        <sz val="11"/>
        <color theme="1"/>
        <rFont val="Times New Roman"/>
        <family val="1"/>
      </rPr>
      <t>United States</t>
    </r>
    <r>
      <rPr>
        <sz val="11"/>
        <color theme="1"/>
        <rFont val="Times New Roman"/>
        <family val="1"/>
      </rPr>
      <t xml:space="preserve"> committed $8.506 (€8.06) billion in </t>
    </r>
    <r>
      <rPr>
        <i/>
        <sz val="11"/>
        <color theme="1"/>
        <rFont val="Times New Roman"/>
        <family val="1"/>
      </rPr>
      <t xml:space="preserve">financial assistance </t>
    </r>
    <r>
      <rPr>
        <sz val="11"/>
        <color theme="1"/>
        <rFont val="Times New Roman"/>
        <family val="1"/>
      </rPr>
      <t>on May 10:</t>
    </r>
  </si>
  <si>
    <t>$ 8.006 billion for the Economic Support Fund</t>
  </si>
  <si>
    <t>$ 500 million through the European Bank for Reconstruction and Development</t>
  </si>
  <si>
    <r>
      <t xml:space="preserve">The </t>
    </r>
    <r>
      <rPr>
        <u/>
        <sz val="11"/>
        <color theme="1"/>
        <rFont val="Times New Roman"/>
        <family val="1"/>
      </rPr>
      <t>United States</t>
    </r>
    <r>
      <rPr>
        <sz val="11"/>
        <color theme="1"/>
        <rFont val="Times New Roman"/>
        <family val="1"/>
      </rPr>
      <t xml:space="preserve"> committed $4.502 (€4.26) billion in </t>
    </r>
    <r>
      <rPr>
        <i/>
        <sz val="11"/>
        <color theme="1"/>
        <rFont val="Times New Roman"/>
        <family val="1"/>
      </rPr>
      <t xml:space="preserve">humanitarian assistance </t>
    </r>
    <r>
      <rPr>
        <sz val="11"/>
        <color theme="1"/>
        <rFont val="Times New Roman"/>
        <family val="1"/>
      </rPr>
      <t>on May 10:</t>
    </r>
  </si>
  <si>
    <t>$ 4.35 billion for emergency food assistance</t>
  </si>
  <si>
    <t>$ 2 million and modern and regulatory support</t>
  </si>
  <si>
    <t>$ 150 million for the Global Agriculture and Food Security Program</t>
  </si>
  <si>
    <r>
      <t xml:space="preserve">The </t>
    </r>
    <r>
      <rPr>
        <u/>
        <sz val="11"/>
        <color theme="1"/>
        <rFont val="Times New Roman"/>
        <family val="1"/>
      </rPr>
      <t>United Kingdom</t>
    </r>
    <r>
      <rPr>
        <sz val="11"/>
        <color theme="1"/>
        <rFont val="Times New Roman"/>
        <family val="1"/>
      </rPr>
      <t xml:space="preserve"> committed £1.3 (€1.55) billion in </t>
    </r>
    <r>
      <rPr>
        <i/>
        <sz val="11"/>
        <color theme="1"/>
        <rFont val="Times New Roman"/>
        <family val="1"/>
      </rPr>
      <t>military assistance</t>
    </r>
    <r>
      <rPr>
        <sz val="11"/>
        <color theme="1"/>
        <rFont val="Times New Roman"/>
        <family val="1"/>
      </rPr>
      <t xml:space="preserve"> at the beginning of May.</t>
    </r>
  </si>
  <si>
    <r>
      <rPr>
        <u/>
        <sz val="11"/>
        <color theme="1"/>
        <rFont val="Times New Roman"/>
        <family val="1"/>
      </rPr>
      <t>Lithuania</t>
    </r>
    <r>
      <rPr>
        <sz val="11"/>
        <color theme="1"/>
        <rFont val="Times New Roman"/>
        <family val="1"/>
      </rPr>
      <t xml:space="preserve"> committed €27 million in new assistance (€20 million in </t>
    </r>
    <r>
      <rPr>
        <i/>
        <sz val="11"/>
        <color theme="1"/>
        <rFont val="Times New Roman"/>
        <family val="1"/>
      </rPr>
      <t>military</t>
    </r>
    <r>
      <rPr>
        <sz val="11"/>
        <color theme="1"/>
        <rFont val="Times New Roman"/>
        <family val="1"/>
      </rPr>
      <t xml:space="preserve">, €5 million in </t>
    </r>
    <r>
      <rPr>
        <i/>
        <sz val="11"/>
        <color theme="1"/>
        <rFont val="Times New Roman"/>
        <family val="1"/>
      </rPr>
      <t>humanitarian</t>
    </r>
    <r>
      <rPr>
        <sz val="11"/>
        <color theme="1"/>
        <rFont val="Times New Roman"/>
        <family val="1"/>
      </rPr>
      <t xml:space="preserve"> and €2 million in </t>
    </r>
    <r>
      <rPr>
        <i/>
        <sz val="11"/>
        <color theme="1"/>
        <rFont val="Times New Roman"/>
        <family val="1"/>
      </rPr>
      <t>financial</t>
    </r>
    <r>
      <rPr>
        <sz val="11"/>
        <color theme="1"/>
        <rFont val="Times New Roman"/>
        <family val="1"/>
      </rPr>
      <t>), raising from 6th to 5th in the ranking of total aid in percent of GDP (0.02% increase).</t>
    </r>
  </si>
  <si>
    <r>
      <rPr>
        <u/>
        <sz val="11"/>
        <color theme="1"/>
        <rFont val="Times New Roman"/>
        <family val="1"/>
      </rPr>
      <t>Hungary</t>
    </r>
    <r>
      <rPr>
        <sz val="11"/>
        <color theme="1"/>
        <rFont val="Times New Roman"/>
        <family val="1"/>
      </rPr>
      <t xml:space="preserve"> committed €119.01 million in </t>
    </r>
    <r>
      <rPr>
        <i/>
        <sz val="11"/>
        <color theme="1"/>
        <rFont val="Times New Roman"/>
        <family val="1"/>
      </rPr>
      <t>humanitarian</t>
    </r>
    <r>
      <rPr>
        <sz val="11"/>
        <color theme="1"/>
        <rFont val="Times New Roman"/>
        <family val="1"/>
      </rPr>
      <t xml:space="preserve"> assistance, raising from 26th to 10th in the ranking of total aid in percent of GDP (0.08% increase).</t>
    </r>
  </si>
  <si>
    <r>
      <rPr>
        <u/>
        <sz val="11"/>
        <color theme="1"/>
        <rFont val="Times New Roman"/>
        <family val="1"/>
      </rPr>
      <t>Estonia</t>
    </r>
    <r>
      <rPr>
        <sz val="11"/>
        <color theme="1"/>
        <rFont val="Times New Roman"/>
        <family val="1"/>
      </rPr>
      <t xml:space="preserve"> committed €234.59 in new assistance (€230 million in </t>
    </r>
    <r>
      <rPr>
        <i/>
        <sz val="11"/>
        <color theme="1"/>
        <rFont val="Times New Roman"/>
        <family val="1"/>
      </rPr>
      <t>military</t>
    </r>
    <r>
      <rPr>
        <sz val="11"/>
        <color theme="1"/>
        <rFont val="Times New Roman"/>
        <family val="1"/>
      </rPr>
      <t xml:space="preserve"> and €4.59 million in </t>
    </r>
    <r>
      <rPr>
        <i/>
        <sz val="11"/>
        <color theme="1"/>
        <rFont val="Times New Roman"/>
        <family val="1"/>
      </rPr>
      <t>humanitarian</t>
    </r>
    <r>
      <rPr>
        <sz val="11"/>
        <color theme="1"/>
        <rFont val="Times New Roman"/>
        <family val="1"/>
      </rPr>
      <t>), with a 0.1% increase in ist total aid in percent of GDP.</t>
    </r>
  </si>
  <si>
    <r>
      <t xml:space="preserve">We discovered through an article published by Delano on April 25 that the €250 million </t>
    </r>
    <r>
      <rPr>
        <i/>
        <sz val="11"/>
        <color theme="1"/>
        <rFont val="Times New Roman"/>
        <family val="1"/>
      </rPr>
      <t>financial assistance</t>
    </r>
    <r>
      <rPr>
        <sz val="11"/>
        <color theme="1"/>
        <rFont val="Times New Roman"/>
        <family val="1"/>
      </rPr>
      <t xml:space="preserve"> reported for </t>
    </r>
    <r>
      <rPr>
        <u/>
        <sz val="11"/>
        <color theme="1"/>
        <rFont val="Times New Roman"/>
        <family val="1"/>
      </rPr>
      <t>Luxembourg</t>
    </r>
    <r>
      <rPr>
        <sz val="11"/>
        <color theme="1"/>
        <rFont val="Times New Roman"/>
        <family val="1"/>
      </rPr>
      <t xml:space="preserve"> in the previous data release</t>
    </r>
  </si>
  <si>
    <t>is a contribution to a collective EU aid package. In this current release we decided to drop it in order to avoid double-counting.</t>
  </si>
  <si>
    <r>
      <t xml:space="preserve">We added the </t>
    </r>
    <r>
      <rPr>
        <i/>
        <sz val="11"/>
        <color theme="1"/>
        <rFont val="Times New Roman"/>
        <family val="1"/>
      </rPr>
      <t xml:space="preserve">financial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on April 22 and amounting to £1.05 billion (£730 million in guarantees and £320 in grants). </t>
    </r>
  </si>
  <si>
    <r>
      <t xml:space="preserve">We revise downwards the </t>
    </r>
    <r>
      <rPr>
        <i/>
        <sz val="11"/>
        <color theme="1"/>
        <rFont val="Times New Roman"/>
        <family val="1"/>
      </rPr>
      <t xml:space="preserve">humanitarian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dropping £100 million dedictaed to a 3-year development package.</t>
    </r>
  </si>
  <si>
    <r>
      <t xml:space="preserve">We no longer double count the EPF contribution as additional aid, namely the €400 million, €1.2 million, €33 million and €10 million reported by </t>
    </r>
    <r>
      <rPr>
        <u/>
        <sz val="11"/>
        <color theme="1"/>
        <rFont val="Times New Roman"/>
        <family val="1"/>
      </rPr>
      <t>Germany</t>
    </r>
    <r>
      <rPr>
        <sz val="11"/>
        <color theme="1"/>
        <rFont val="Times New Roman"/>
        <family val="1"/>
      </rPr>
      <t xml:space="preserve">, </t>
    </r>
    <r>
      <rPr>
        <u/>
        <sz val="11"/>
        <color theme="1"/>
        <rFont val="Times New Roman"/>
        <family val="1"/>
      </rPr>
      <t>Latvia</t>
    </r>
    <r>
      <rPr>
        <sz val="11"/>
        <color theme="1"/>
        <rFont val="Times New Roman"/>
        <family val="1"/>
      </rPr>
      <t xml:space="preserve">, </t>
    </r>
    <r>
      <rPr>
        <u/>
        <sz val="11"/>
        <color theme="1"/>
        <rFont val="Times New Roman"/>
        <family val="1"/>
      </rPr>
      <t>Ireland</t>
    </r>
    <r>
      <rPr>
        <sz val="11"/>
        <color theme="1"/>
        <rFont val="Times New Roman"/>
        <family val="1"/>
      </rPr>
      <t xml:space="preserve"> and </t>
    </r>
    <r>
      <rPr>
        <u/>
        <sz val="11"/>
        <color theme="1"/>
        <rFont val="Times New Roman"/>
        <family val="1"/>
      </rPr>
      <t>Portugal</t>
    </r>
    <r>
      <rPr>
        <sz val="11"/>
        <color theme="1"/>
        <rFont val="Times New Roman"/>
        <family val="1"/>
      </rPr>
      <t xml:space="preserve"> to</t>
    </r>
  </si>
  <si>
    <t xml:space="preserve">the European Peace Facility. The EPF is of courses counted when listing contribution provided by the European Union (Commission and Council). </t>
  </si>
  <si>
    <t xml:space="preserve">In May, Macron reiterated France's €1.2 billion of financial aid committed to Ukraine in February. These commitmenst were barely reported on earlier, but are now added: </t>
  </si>
  <si>
    <t>€200 million loan on February 8</t>
  </si>
  <si>
    <t>€1 billion guarantee on February 8</t>
  </si>
  <si>
    <t>Updates and Comments - 2nd RELEASE going until April 23, 2022</t>
  </si>
  <si>
    <r>
      <t xml:space="preserve">The </t>
    </r>
    <r>
      <rPr>
        <u/>
        <sz val="11"/>
        <rFont val="Times New Roman"/>
        <family val="1"/>
      </rPr>
      <t>United States</t>
    </r>
    <r>
      <rPr>
        <sz val="11"/>
        <rFont val="Times New Roman"/>
        <family val="1"/>
      </rPr>
      <t xml:space="preserve"> committed an additional amount of $2 billion in </t>
    </r>
    <r>
      <rPr>
        <i/>
        <sz val="11"/>
        <rFont val="Times New Roman"/>
        <family val="1"/>
      </rPr>
      <t>financial assistance:</t>
    </r>
  </si>
  <si>
    <t>$1 billion loan on February 14</t>
  </si>
  <si>
    <t>$500 million grant on March 30</t>
  </si>
  <si>
    <t>$500 million grant on April 21</t>
  </si>
  <si>
    <r>
      <t xml:space="preserve">The </t>
    </r>
    <r>
      <rPr>
        <u/>
        <sz val="11"/>
        <rFont val="Times New Roman"/>
        <family val="1"/>
      </rPr>
      <t>United States</t>
    </r>
    <r>
      <rPr>
        <sz val="11"/>
        <rFont val="Times New Roman"/>
        <family val="1"/>
      </rPr>
      <t xml:space="preserve"> committed in April an additional amount of $1.32 billion in </t>
    </r>
    <r>
      <rPr>
        <i/>
        <sz val="11"/>
        <rFont val="Times New Roman"/>
        <family val="1"/>
      </rPr>
      <t>humanitarian assistance</t>
    </r>
    <r>
      <rPr>
        <sz val="11"/>
        <rFont val="Times New Roman"/>
        <family val="1"/>
      </rPr>
      <t>.</t>
    </r>
  </si>
  <si>
    <r>
      <rPr>
        <u/>
        <sz val="11"/>
        <color theme="1"/>
        <rFont val="Times New Roman"/>
        <family val="1"/>
      </rPr>
      <t>Canada</t>
    </r>
    <r>
      <rPr>
        <sz val="11"/>
        <color theme="1"/>
        <rFont val="Times New Roman"/>
        <family val="1"/>
      </rPr>
      <t xml:space="preserve"> extended its </t>
    </r>
    <r>
      <rPr>
        <i/>
        <sz val="11"/>
        <color theme="1"/>
        <rFont val="Times New Roman"/>
        <family val="1"/>
      </rPr>
      <t>financial assistance</t>
    </r>
    <r>
      <rPr>
        <sz val="11"/>
        <color theme="1"/>
        <rFont val="Times New Roman"/>
        <family val="1"/>
      </rPr>
      <t xml:space="preserve"> of €1.1 billion:</t>
    </r>
  </si>
  <si>
    <t>€367 loan on February 14</t>
  </si>
  <si>
    <t>€735 loan on April 8</t>
  </si>
  <si>
    <r>
      <rPr>
        <u/>
        <sz val="11"/>
        <color theme="1"/>
        <rFont val="Times New Roman"/>
        <family val="1"/>
      </rPr>
      <t>Canada</t>
    </r>
    <r>
      <rPr>
        <sz val="11"/>
        <color theme="1"/>
        <rFont val="Times New Roman"/>
        <family val="1"/>
      </rPr>
      <t xml:space="preserve"> extended its </t>
    </r>
    <r>
      <rPr>
        <i/>
        <sz val="11"/>
        <color theme="1"/>
        <rFont val="Times New Roman"/>
        <family val="1"/>
      </rPr>
      <t>military assistance</t>
    </r>
    <r>
      <rPr>
        <sz val="11"/>
        <color theme="1"/>
        <rFont val="Times New Roman"/>
        <family val="1"/>
      </rPr>
      <t xml:space="preserve"> of approximately €617 million:</t>
    </r>
  </si>
  <si>
    <t>€250 million on January 26</t>
  </si>
  <si>
    <t>€367 million on April 24</t>
  </si>
  <si>
    <r>
      <t xml:space="preserve">The </t>
    </r>
    <r>
      <rPr>
        <i/>
        <sz val="11"/>
        <color theme="1"/>
        <rFont val="Times New Roman"/>
        <family val="1"/>
      </rPr>
      <t>financial assistance</t>
    </r>
    <r>
      <rPr>
        <sz val="11"/>
        <color theme="1"/>
        <rFont val="Times New Roman"/>
        <family val="1"/>
      </rPr>
      <t xml:space="preserve"> offered by the </t>
    </r>
    <r>
      <rPr>
        <u/>
        <sz val="11"/>
        <color theme="1"/>
        <rFont val="Times New Roman"/>
        <family val="1"/>
      </rPr>
      <t>United Kindgom</t>
    </r>
    <r>
      <rPr>
        <sz val="11"/>
        <color theme="1"/>
        <rFont val="Times New Roman"/>
        <family val="1"/>
      </rPr>
      <t xml:space="preserve"> increased of almost €800 million:</t>
    </r>
  </si>
  <si>
    <t xml:space="preserve">€105 million grant on February 1 </t>
  </si>
  <si>
    <t>€598 million loan on February 23</t>
  </si>
  <si>
    <t>€91 million through the World Bank</t>
  </si>
  <si>
    <r>
      <rPr>
        <u/>
        <sz val="11"/>
        <color theme="1"/>
        <rFont val="Times New Roman"/>
        <family val="1"/>
      </rPr>
      <t>Germany</t>
    </r>
    <r>
      <rPr>
        <sz val="11"/>
        <color theme="1"/>
        <rFont val="Times New Roman"/>
        <family val="1"/>
      </rPr>
      <t xml:space="preserve"> announced on April 14 an increase of €1.2 billion in its </t>
    </r>
    <r>
      <rPr>
        <i/>
        <sz val="11"/>
        <color theme="1"/>
        <rFont val="Times New Roman"/>
        <family val="1"/>
      </rPr>
      <t>military assistance</t>
    </r>
    <r>
      <rPr>
        <sz val="11"/>
        <color theme="1"/>
        <rFont val="Times New Roman"/>
        <family val="1"/>
      </rPr>
      <t>.</t>
    </r>
  </si>
  <si>
    <r>
      <t xml:space="preserve">The Prime Minister of </t>
    </r>
    <r>
      <rPr>
        <u/>
        <sz val="11"/>
        <color theme="1"/>
        <rFont val="Times New Roman"/>
        <family val="1"/>
      </rPr>
      <t>Poland</t>
    </r>
    <r>
      <rPr>
        <sz val="11"/>
        <color theme="1"/>
        <rFont val="Times New Roman"/>
        <family val="1"/>
      </rPr>
      <t xml:space="preserve"> announced on April 23 that the overall Polish </t>
    </r>
    <r>
      <rPr>
        <i/>
        <sz val="11"/>
        <color theme="1"/>
        <rFont val="Times New Roman"/>
        <family val="1"/>
      </rPr>
      <t>military assistance</t>
    </r>
    <r>
      <rPr>
        <sz val="11"/>
        <color theme="1"/>
        <rFont val="Times New Roman"/>
        <family val="1"/>
      </rPr>
      <t xml:space="preserve"> amounted to $1.6 billion. Because of this new piece of information the military assistance from Poland</t>
    </r>
  </si>
  <si>
    <t>recorded in our second release increased of $1.49 billion.</t>
  </si>
  <si>
    <r>
      <t xml:space="preserve">Due to the disclosure made on April 6 by the Minister of Foreign Affairs about </t>
    </r>
    <r>
      <rPr>
        <u/>
        <sz val="11"/>
        <color theme="1"/>
        <rFont val="Times New Roman"/>
        <family val="1"/>
      </rPr>
      <t>Latvia</t>
    </r>
    <r>
      <rPr>
        <sz val="11"/>
        <color theme="1"/>
        <rFont val="Times New Roman"/>
        <family val="1"/>
      </rPr>
      <t xml:space="preserve">'s military assistance, Latvia's </t>
    </r>
    <r>
      <rPr>
        <i/>
        <sz val="11"/>
        <color theme="1"/>
        <rFont val="Times New Roman"/>
        <family val="1"/>
      </rPr>
      <t>aid in percentage of GDP</t>
    </r>
    <r>
      <rPr>
        <sz val="11"/>
        <color theme="1"/>
        <rFont val="Times New Roman"/>
        <family val="1"/>
      </rPr>
      <t xml:space="preserve"> increased of approximately 0.7%.</t>
    </r>
  </si>
  <si>
    <r>
      <t xml:space="preserve">The military aid provided by the </t>
    </r>
    <r>
      <rPr>
        <u/>
        <sz val="11"/>
        <color theme="1"/>
        <rFont val="Times New Roman"/>
        <family val="1"/>
      </rPr>
      <t>United States</t>
    </r>
    <r>
      <rPr>
        <sz val="11"/>
        <color theme="1"/>
        <rFont val="Times New Roman"/>
        <family val="1"/>
      </rPr>
      <t xml:space="preserve"> was revised downwards, due to the fact that $200 million out of the $3.5 allowed in presidential drawdowns had already been used in December 2021.</t>
    </r>
  </si>
  <si>
    <r>
      <t xml:space="preserve">We added the </t>
    </r>
    <r>
      <rPr>
        <i/>
        <sz val="11"/>
        <color theme="1"/>
        <rFont val="Times New Roman"/>
        <family val="1"/>
      </rPr>
      <t>financial assistance</t>
    </r>
    <r>
      <rPr>
        <sz val="11"/>
        <color theme="1"/>
        <rFont val="Times New Roman"/>
        <family val="1"/>
      </rPr>
      <t xml:space="preserve"> committed by </t>
    </r>
    <r>
      <rPr>
        <u/>
        <sz val="11"/>
        <color theme="1"/>
        <rFont val="Times New Roman"/>
        <family val="1"/>
      </rPr>
      <t>Luxembourg</t>
    </r>
    <r>
      <rPr>
        <sz val="11"/>
        <color theme="1"/>
        <rFont val="Times New Roman"/>
        <family val="1"/>
      </rPr>
      <t xml:space="preserve"> on March 8, amounting to €250 million and increasing aid in percentage of GDP of  approximately 0.37%.</t>
    </r>
  </si>
  <si>
    <t xml:space="preserve">In Figure 9 the GDP (USD) was used to calculate the Percentage of GDP values. This was adjusted to be calculated with the GDP (EUR). </t>
  </si>
  <si>
    <t xml:space="preserve">In Figure 4 the GDP (USD) was used to calculate the Percentage of GDP values for the EU Aid ('Figure 4' Column D). This was resolved to now be calculated with the GDP (EUR) Values. </t>
  </si>
  <si>
    <t>Since the EPF is already included in the EU (Commission and Council) contributions, we excluded it from the Sum of EU Aid ('Aggregate Aid' Column P) calculation.</t>
  </si>
  <si>
    <t xml:space="preserve">Previously, this resulted in a double counting of the EPF shares for EU countries in Figure 4 and Figure A1, this double counting issue was resolved. </t>
  </si>
  <si>
    <t>ID</t>
  </si>
  <si>
    <t>countries</t>
  </si>
  <si>
    <t>Announcement Date</t>
  </si>
  <si>
    <t>Type of Aid General</t>
  </si>
  <si>
    <t>Type of Aid Specific</t>
  </si>
  <si>
    <t>Explanation</t>
  </si>
  <si>
    <t>Monetary Value as Given by Source</t>
  </si>
  <si>
    <t>Original Currency</t>
  </si>
  <si>
    <t>Item</t>
  </si>
  <si>
    <t>Type of item</t>
  </si>
  <si>
    <t>Soviet origin (1)</t>
  </si>
  <si>
    <t>No. of Units</t>
  </si>
  <si>
    <t>No. of Units delivered (in-kind military aid)</t>
  </si>
  <si>
    <t>Unit Price in USD</t>
  </si>
  <si>
    <t>Value committed (own estimate, in USD)</t>
  </si>
  <si>
    <t>Value delivered (own estimate, in USD)</t>
  </si>
  <si>
    <t xml:space="preserve">Total </t>
  </si>
  <si>
    <t>Converted Value in EUR</t>
  </si>
  <si>
    <t>Total monetary value delivered in EUR</t>
  </si>
  <si>
    <t>Official Source</t>
  </si>
  <si>
    <t>Source of Aid 1</t>
  </si>
  <si>
    <t>Source of Aid 2</t>
  </si>
  <si>
    <t>Source of Aid 3</t>
  </si>
  <si>
    <t>Source of Aid 4</t>
  </si>
  <si>
    <t>Bilateral loan/grant made through IMF or WB?</t>
  </si>
  <si>
    <t>Updated/newly added entry</t>
  </si>
  <si>
    <t>Source for Delivery</t>
  </si>
  <si>
    <t>AUH1</t>
  </si>
  <si>
    <t>Australia</t>
  </si>
  <si>
    <t>Humanitarian</t>
  </si>
  <si>
    <t>Assistance</t>
  </si>
  <si>
    <t>Australia has committed immediate humanitarian assistance of an initial 35 million AUD to help meeting the urgent needs of the Ukrainian people. This assistance will deliver lifesaving services and supplies, including the provision of shelter, food, medical care and water.</t>
  </si>
  <si>
    <t>AUD</t>
  </si>
  <si>
    <t>.</t>
  </si>
  <si>
    <t>Yes</t>
  </si>
  <si>
    <t>https://pmtranscripts.pmc.gov.au/release/transcript-43831</t>
  </si>
  <si>
    <t>https://admin.globalcitizen.org/en/content/australia-aid-ukraine/?edit</t>
  </si>
  <si>
    <t>AUH2</t>
  </si>
  <si>
    <t>Equipment</t>
  </si>
  <si>
    <t>A shipment of 70,000 tons of thermal coal has been provided.</t>
  </si>
  <si>
    <t>Not given</t>
  </si>
  <si>
    <t>ton of coal</t>
  </si>
  <si>
    <t xml:space="preserve">https://www.minister.industry.gov.au/ministers/pitt/media-releases/whitehaven-assist-ukraine-request-provide-energy-security </t>
  </si>
  <si>
    <t xml:space="preserve">https://www.kmu.gov.ua/en/news/70-000-tonn-vugillya-nadast-ukrayini-avstraliya-german-galushchenko </t>
  </si>
  <si>
    <t xml:space="preserve">https://www.abc.net.au/news/rural/2022-03-22/cost-sending-70000-tonnes-of-coal-to-ukraine/100929070 </t>
  </si>
  <si>
    <t>AUH3</t>
  </si>
  <si>
    <t xml:space="preserve">The Australian Government announced 30 million AUD to Ukraine in emergency humanitarian aid. This aid package is intended to provide emergency help for women, children, elderly and disabled. From the entire package, AUD 10 million are devoted to the World Food Program, which we do not consider. We equally do not consider AUD 8 million to the UN Population fund. Hence, we report the donation value as AUD 12 million. Source of Aid 3 mentions AUD 65 million in humanitarian aid. Since we do not count AUD 18 million in this packet, we arrive at a total of AUD 47 million in humanitarian aid that Australia has provided. </t>
  </si>
  <si>
    <t>https://pmtranscripts.pmc.gov.au/release/transcript-43868</t>
  </si>
  <si>
    <t>https://www.globalcitizen.org/en/content/australia-ukraine-aid-follow-up/</t>
  </si>
  <si>
    <t xml:space="preserve">https://www.peterdutton.com.au/joint-media-release-australia-to-provide-additional-support-to-ukraine/ </t>
  </si>
  <si>
    <t>AUM1</t>
  </si>
  <si>
    <t>Military</t>
  </si>
  <si>
    <t>Weapons and equipment</t>
  </si>
  <si>
    <t>Australia has announced around 70 million AUD in lethal military assistance to support the defence of Ukraine, including missiles and weapons. They also provide a range of non-lethal military equipment and medical supplies in response to a specific request from the Ukrainian Government. No further information about the composition of the equipment was disclosed.</t>
  </si>
  <si>
    <t>https://www.theguardian.com/australia-news/2022/feb/27/labor-warns-china-it-should-not-take-comfort-from-russian-invasion-of-ukraine</t>
  </si>
  <si>
    <t>AUM2</t>
  </si>
  <si>
    <t>Additional 21 million AUD support package of defensive military assistance for the Ukrainian Armed Forces. No further information was disclosed.</t>
  </si>
  <si>
    <t>https://www.foreignminister.gov.au/minister/marise-payne/media-release/additional-support-ukraine</t>
  </si>
  <si>
    <t xml:space="preserve">https://pmtranscripts.pmc.gov.au/release/transcript-43868 </t>
  </si>
  <si>
    <t>AUM3</t>
  </si>
  <si>
    <t>Military Equipment</t>
  </si>
  <si>
    <t>This 25 million AUD package of additional defensive military assistance will include tactical decoys, unmanned aerial and unmanned ground systems, rations, and medical supplies.</t>
  </si>
  <si>
    <t>tactical decoy</t>
  </si>
  <si>
    <t>undisclosed</t>
  </si>
  <si>
    <t>https://pmtranscripts.pmc.gov.au/release/transcript-43925</t>
  </si>
  <si>
    <t>https://www.easternriverinachronicle.com.au/story/7680638/australia-sends-25m-for-ukraine-military/?cs=7</t>
  </si>
  <si>
    <t>https://www.abc.net.au/news/2022-03-31/more-military-aid-defence-weapons-ukraine-zelenskyy/100955544</t>
  </si>
  <si>
    <t>unmanned aerial system</t>
  </si>
  <si>
    <t>unmanned ground system</t>
  </si>
  <si>
    <t>field ration</t>
  </si>
  <si>
    <t>medical supplies</t>
  </si>
  <si>
    <t>AUM4</t>
  </si>
  <si>
    <t>On April 8, the prime minister announced that Australia sends additional 20 Bushmaster Protected Mobility Vehicles to Ukraine. It is mentioned that these vehicles increase the total commitment of military assistance from 116 million AUD (the sum of AUM1 - AUM3) to 165 million AUD. Hence, we can deduce that the 20 Bushmasters have a value of 49 million AUD (165 million - 116 million).</t>
  </si>
  <si>
    <t>Bushmaster Protected Mobility Vehicles</t>
  </si>
  <si>
    <t>https://pmtranscripts.pmc.gov.au/release/transcript-43947</t>
  </si>
  <si>
    <t>https://news.defence.gov.au/international/working-together-ukraine</t>
  </si>
  <si>
    <t>AUM5</t>
  </si>
  <si>
    <t>Australia announced (in addition to the 20 Bushmaster protected mobility vehicles reported in AUM4) another aid package that includes anti-armour weapons and ammunition. Since the amount of items sent is not entirely disclosed, we report the monetary value as given by the donor.</t>
  </si>
  <si>
    <t>light anti-armor weapon</t>
  </si>
  <si>
    <t xml:space="preserve">Yes </t>
  </si>
  <si>
    <t>https://pmtranscripts.pmc.gov.au/release/transcript-43950</t>
  </si>
  <si>
    <t>https://www.armyrecognition.com/defense_news_may_2022_global_security_army_industry/australia_announces_delivery_of_14_m113_tracked_apcs_and_20_bushmaster_armored_vehicles_to_ukraine.html</t>
  </si>
  <si>
    <t>ammunition for light anti-armor weapon</t>
  </si>
  <si>
    <t>AUM6</t>
  </si>
  <si>
    <t>The Australian Government is gifting six M777 155mm lightweight towed howitzers and howitzer ammunition to the Government of Ukraine. Since entire support package is valued at AUD 26.7 million. Source of Aid 1 mentions a total military contribution until April 27 of AUD 225 million. Donation IDs AUM1 to AUM6 report AUD 218.2 million. This is due to Australia providing military aid to Ukraine through the NATO partners, with an undisclosed amount. The difference of AUD 6.8 million between Source of Aid 1 and our data collection until this point is due to this aid through NATO partners, with an undislosed amount (most likely AUD 6.8 million).</t>
  </si>
  <si>
    <t>M777 howitzer</t>
  </si>
  <si>
    <t>https://www.peterdutton.com.au/joint-media-release-australia-to-provide-additional-support-to-ukraine/</t>
  </si>
  <si>
    <t>https://www.abc.net.au/news/2022-02-27/australia-send-weapons-nato-ukraine-war-russia/100865712</t>
  </si>
  <si>
    <t>round of ammunition for M777 howitzer</t>
  </si>
  <si>
    <t>AUM7</t>
  </si>
  <si>
    <t>The Australian Government is providing further support with the gifting of 14 M113 Armoured Personnel Carriers (APCs) and a further 20 Bushmaster Protected Mobility Vehicles (PMVs) to the Government of Ukraine. According to Source of Aid 1, the APCs are worth AUD 12 million in total, the PMVs AUD 48.9 million in total. According to Source of Aid 3, this brings the total military contribution of Australia to AUD 285 million. This coincides with the total value recorded here (AUD 279.1 million) as we do not consider AUD 6.8 million dontated to a NATO trust fund as military aid to Ukraine. Source of Aid 3 also mentions that only 4 of the announced 14 M113 have been delivered. However since Source of Delivery states the delivery of the entire package, we assume upper bounds and consider the entire package as being delivered.</t>
  </si>
  <si>
    <t>M113 armored personnel carrier</t>
  </si>
  <si>
    <t>https://www.peterdutton.com.au/australia-to-provide-armoured-personnel-carriers-and-more-bushmasters-to-ukraine/</t>
  </si>
  <si>
    <t>https://war.ukraine.ua/news/19207/</t>
  </si>
  <si>
    <t>https://bulgarianmilitary.com/2022/06/20/ukraine-gets-australian-m113as4-with-12-7mm-browning-m2hb-qcb-355hp/</t>
  </si>
  <si>
    <t>ATH1</t>
  </si>
  <si>
    <t>Austria</t>
  </si>
  <si>
    <t>The Austrian Government has sent two shipments of medical supplies. The first included 5 power generators, 700 sleeping bags and 28 water containers (with a capacity of 1,000 liters each). The second shipment included 50,000 liters of hand disinfectant, 9,000 liters of surface disinfectant, 50,000 security glasses, 50,000 mouth and nose masks and 20,000 pairs of gloves. Austria has bought the material for its own storage due to the COVID-19 pandemic, but decided to send it to Ukraine after the start of the war.</t>
  </si>
  <si>
    <t xml:space="preserve">Not given </t>
  </si>
  <si>
    <t>USD</t>
  </si>
  <si>
    <t>liter of hand disinfectant</t>
  </si>
  <si>
    <t>https://bmi.gv.at/news.aspx?id=44786F67485A5049462F493D#:~:text=Mit%20der%20bereits%20zweiten%20Hilfslieferung,Plastikhandschuhen%2C%20Schutzbrillen%20und%20Desinfektionsmittel%20entsandt.</t>
  </si>
  <si>
    <t>liter of disinfectant</t>
  </si>
  <si>
    <t>safety glasses</t>
  </si>
  <si>
    <t>medical protective mask</t>
  </si>
  <si>
    <t>gloves</t>
  </si>
  <si>
    <t>power generator</t>
  </si>
  <si>
    <t>sleeping bag</t>
  </si>
  <si>
    <t>liter of water</t>
  </si>
  <si>
    <t>ATH2</t>
  </si>
  <si>
    <t>Austria has sent 20 ambulances to Ukraine, following a commitment from the Chancellor. Note that "Source of Aid 1" also lists 16 other ambulances, provided by the city of Vienna, which gives a total of 36 ambulances provided by Austria.</t>
  </si>
  <si>
    <t>ambulance H</t>
  </si>
  <si>
    <t>https://www.bundeskanzleramt.gv.at/bundeskanzleramt/nachrichten-der-bundesregierung/2022/06/bundeskanzler-nehammer-wir-helfen-dort-wo-es-uns-als-neutrales-oesterreich-moeglich-ist.html</t>
  </si>
  <si>
    <t>https://www.krone.at/2724936</t>
  </si>
  <si>
    <t>ATH3</t>
  </si>
  <si>
    <t>Grant</t>
  </si>
  <si>
    <t>The minister of foreign affairs announced to provide additional 41.9 million EUR in financial assistance for humanitarian projects. Note that this is tied to an equal amount that has been donated by the general public (another 41.9 million EUR). As outlined by "Source of Aid 2", at least 15 million EUR of this announced sum is devoted to projects for women and children. Furthermore, it is reported that 5 million EUR are devoted to refugees in Moldova. Hence, we substract these 5 million EUR and count 36.9 million EUR as direct aid to Ukraine. We do not report the 17 million EUR donated to international organizations (see "Source of Aid 2") and we do report the financial assistance amounting to 10 million EUR (see "Source of Aid 2") in ATF1.</t>
  </si>
  <si>
    <t>EUR</t>
  </si>
  <si>
    <t>https://www.youtube.com/watch?v=NdYiLiivIgs</t>
  </si>
  <si>
    <t>https://www.euractiv.com/section/politics/short_news/austria-more-than-doubles-financial-support-for-ukraine-with-citizen-donations/</t>
  </si>
  <si>
    <t>https://medinlive.at/gesellschaft/oesterreich-unterstuetzt-ukraine-mit-ueber-80-millionen-euro</t>
  </si>
  <si>
    <t>ATM1</t>
  </si>
  <si>
    <t>On March 13, Austria announced that it has sent a package consisting of protective helmets, ballistic vests and bandages to Ukraine. The government besides announced to send 200,000 liters of diesel. On May 5, the Ministry of Defence reported the total amounts that were sent in March ("Source of Aid 2") and puts a value of 35 EUR on each helmet. "Source of Aid 2" also mentions that Austria still behaves neutrally, which results in the provision of only non-lethal equipment as reporter here and abstention on the European Peace Facility (EPF) decision.</t>
  </si>
  <si>
    <t>liter of diesel M</t>
  </si>
  <si>
    <t>https://www.bmi.gv.at/news.aspx?id=69543149763057644C4C633D</t>
  </si>
  <si>
    <t>https://www.wienerzeitung.at/nachrichten/politik/oesterreich/2146418-Oesterreich-schickte-Ukraine-Armeeausruestung.html</t>
  </si>
  <si>
    <t>https://www.weekend.at/chronik/200000-liter-diesel-aus-oesterreich-fuer-ukraine</t>
  </si>
  <si>
    <t>helmet Austria</t>
  </si>
  <si>
    <t>ballistic vest Austria</t>
  </si>
  <si>
    <t>wound bandage</t>
  </si>
  <si>
    <t>ATF1</t>
  </si>
  <si>
    <t>Financial</t>
  </si>
  <si>
    <t>Austria contributed with 10 million EUR to the multi-donor trust fund (MDTF) set up by the World Bank.</t>
  </si>
  <si>
    <t>https://www.worldbank.org/en/news/press-release/2022/03/14/world-bank-announces-additional-200-million-in-financing-for-ukraine</t>
  </si>
  <si>
    <t>BEH1</t>
  </si>
  <si>
    <t>Belgium</t>
  </si>
  <si>
    <t xml:space="preserve">Belgium announced to send medical ressources amounting to 3.4 million EUR. The aid falls within the framework of the EU Civil Protection Mechanism (EUCPM). The package includes on top of the items listed to the right also anaesthetics, muscle relaxants and painkillers. </t>
  </si>
  <si>
    <t>No</t>
  </si>
  <si>
    <t>https://www.brusselstimes.com/208911/belgium-to-send-e3-4-million-medical-supplies-to-ukraine</t>
  </si>
  <si>
    <t>respiratory assistance device</t>
  </si>
  <si>
    <t>syringe</t>
  </si>
  <si>
    <t>BEH2</t>
  </si>
  <si>
    <t xml:space="preserve">Emergency shelter material adapted to cold climate conditions, such as tents, blankets and sanitary kits. The aid falls within the framework of the EU Civil Protection Mechanism (EUCPM). </t>
  </si>
  <si>
    <t>https://diplomatie.belgium.be/en/newsroom/news/2022/belgium_sends_emergency_shelter_material_ukraine_b_fast</t>
  </si>
  <si>
    <t>BEH3</t>
  </si>
  <si>
    <t>Assistance and equipment</t>
  </si>
  <si>
    <t xml:space="preserve">On April 9, in occasion of the event "Stand Up for Ukraine", the Belgian Prime Minister announced that Belgium had set up a fund of 800 million EUR to support Ukraine and Ukrainian refugees. Since only 83 million EUR will be sent to Ukraine (see "Sorce of Aid 2"), we only report this amount. The Prime Minister also mentioned trucks of medical supplies reaching Ukraine on the same day of the announcements (see "Source of Aid 1"). We assume that the trucks are part of the 83 million EUR package. </t>
  </si>
  <si>
    <t>https://twitter.com/i/status/1512804572728897539</t>
  </si>
  <si>
    <t>https://www.globalcitizen.org/en/content/stand-up-for-ukraine-impact-report/</t>
  </si>
  <si>
    <t>BEH4</t>
  </si>
  <si>
    <t>Belgium "scales up the [humanitarian] support to a total of 30 million EUR". This was announced on the International Donors' Conference on May 5, 2022 (see 1:51:00 in "Source of Aid 1") . Since BEH1 already reports a value of 230,000 EUR, we report in this entry the difference between 30 million and 230,000 (30 million EUR - 230,000 EUR = 29,770,000 EUR).</t>
  </si>
  <si>
    <t>https://www.youtube.com/watch?v=vzENx6dTpqY</t>
  </si>
  <si>
    <t>BEM1</t>
  </si>
  <si>
    <t>Automatic rifles and tons of fuel. This is part of total aid until April 22 that is estimated by the Prime Minister to be 76 million EUR ("Source of Aid 1").</t>
  </si>
  <si>
    <t>FNC-type automatic rifle</t>
  </si>
  <si>
    <t>https://mil.in.ua/en/news/belgium-made-a-decision-to-hand-over-artillery-to-ukraine-the-media/</t>
  </si>
  <si>
    <t>https://twitter.com/alexanderdecroo/status/1497542000228417537</t>
  </si>
  <si>
    <t>https://www.thebulletin.be/belgium-send-more-weapons-and-fuel-ukraine</t>
  </si>
  <si>
    <t>ton of fuel</t>
  </si>
  <si>
    <t>Weapons</t>
  </si>
  <si>
    <t>Automatic rifles and anti-tank weapons. "Source of Aid 2" lists this aid as an additional package to the one reported in BEM1. This is part of total aid until April 22 that is estimated by the Prime Minister to be 76 million EUR ("Source of Aid 1").</t>
  </si>
  <si>
    <t>https://twitter.com/alexanderdecroo/status/1497914776063594502</t>
  </si>
  <si>
    <t>M72 rocket launcher</t>
  </si>
  <si>
    <t>Lethal and non-lethal weapons amounting to 11 million EUR were approved on March 18. This is part of total aid until April 22 that is estimated by the Prime Minister to be 76 million EUR ("Source of Aid 1"). No further information has been disclosed on the type of weapons. However, "Source of Aid 3" mentions that this package is partially covered through the EPF, without disclosing the exact amount of reimbursement.</t>
  </si>
  <si>
    <t xml:space="preserve">No </t>
  </si>
  <si>
    <t>https://www.lesoir.be/437698/article/2022-04-22/guerre-en-ukraine-la-belgique-sapprete-livrer-de-nouveaux-missiles-antichars</t>
  </si>
  <si>
    <t>https://cde.news/belgium-explores-new-avenues-of-assistance-for-ukraine/</t>
  </si>
  <si>
    <t xml:space="preserve">BGH1 </t>
  </si>
  <si>
    <t>Bulgaria</t>
  </si>
  <si>
    <t xml:space="preserve">Equipment and logistic assistance. The assistance falls within the framework of the EU Civil Protection Mechanism (EUCPM). No further information regarding the shipment has been disclosed. </t>
  </si>
  <si>
    <t>https://sofiaglobe.com/2022/02/27/bulgaria-to-provide-humanitarian-military-logistical-aid-to-ukraine/?msclkid=2fb3d8c7b05511ec86aca56bb6424b21</t>
  </si>
  <si>
    <t>https://www.slobodenpecat.mk/en/bugarija-kje-isprati-humanitarna-i-voeno-logistichka-pomosh-na-ukraina/</t>
  </si>
  <si>
    <t>BGH2</t>
  </si>
  <si>
    <t>The Bulgarian government announced to provide Ukraine humanitarian assistance worth 706,000 EUR.</t>
  </si>
  <si>
    <t>https://www.kmu.gov.ua/en/news/denis-shmigal-ukrayina-vdyachna-bolgariyi-shcho-spilno-z-mizhnarodnoyu-spilnotoyu-bere-uchast-u-pidtrimci-nashoyi-krayini</t>
  </si>
  <si>
    <t>https://www.ukrinform.net/rubric-ato/3470180-bulgaria-to-give-ukraine-humanitarian-aid-worth-over-eur-700000-shmyhal.html</t>
  </si>
  <si>
    <t>https://interfax.com/newsroom/top-stories/78780/</t>
  </si>
  <si>
    <t>BGH3</t>
  </si>
  <si>
    <t>Humanitarian aid in the form of medicines, clothing, and food. "Source of Aid 1" mentions that Bulgaria approved the repairment of Ukranian military equipment in Bulgarian firms. The latter is reported in BGCM1.</t>
  </si>
  <si>
    <t>https://www.dw.com/bg/%D0%BF%D0%B0%D1%80%D0%BB%D0%B0%D0%BC%D0%B5%D0%BD%D1%82%D1%8A%D1%82-%D1%80%D0%B5%D1%88%D0%B8-%D0%B1%D1%8A%D0%BB%D0%B3%D0%B0%D1%80%D0%B8%D1%8F-%D1%89%D0%B5-%D0%BE%D0%BA%D0%B0%D0%B6%D0%B5-%D0%B2%D0%BE%D0%B5%D0%BD%D0%BD%D0%BE-%D1%82%D0%B5%D1%85%D0%BD%D0%B8%D1%87%D0%B5%D1%81%D0%BA%D0%B0-%D0%BF%D0%BE%D0%BC%D0%BE%D1%89-%D0%BD%D0%B0-%D1%83%D0%BA%D1%80%D0%B0%D0%B9%D0%BD%D0%B0/a-61683857</t>
  </si>
  <si>
    <t>https://bntnews.bg/news/kakva-tochno-pomosht-shte-predostavi-balgariya-na-ukraina-1193662news.html</t>
  </si>
  <si>
    <t>BGM1</t>
  </si>
  <si>
    <t>Bulgaria announced to send 2,000 helmets and 2,000 bulletproof vests to Ukraine.</t>
  </si>
  <si>
    <t>helmet</t>
  </si>
  <si>
    <t>https://www.euractiv.com/section/politics/short_news/bulgaria-sends-helmets-to-ukrain%D0%B5/</t>
  </si>
  <si>
    <t>https://bnr.bg/en/post/101627966</t>
  </si>
  <si>
    <t>https://www.bta.bg/en/news/bulgaria/264039-ukrainian-experts-explore-opportunities-for-military-equipment-repairs-in-bulgar</t>
  </si>
  <si>
    <t>ballistic vest</t>
  </si>
  <si>
    <t>CAF1</t>
  </si>
  <si>
    <t>Canada</t>
  </si>
  <si>
    <t>Loan</t>
  </si>
  <si>
    <t>In addition to the 120 million USD loan announced on January 21 (not reported in our dataset) Canada announced a 500 million CAD loan. This loan was announced on February 14, but was signed on April 14, as mentioned by "Source of Aid 2".</t>
  </si>
  <si>
    <t>CAD</t>
  </si>
  <si>
    <t>https://www.canada.ca/en/department-finance/news/2022/02/canada-pledges-additional-support-for-ukraine.html</t>
  </si>
  <si>
    <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t>
  </si>
  <si>
    <t>CAF2</t>
  </si>
  <si>
    <t>Canada will offer 1 billion CAD of new loan resources through the newly established account of the International Monetary Found. In this specific case, the IMF works as a mediator: donors can provide loans or grants in either reserve currencies or special drawing rights. Refer to CAM8 for the 500 million CAD mentioned in "Source of Aid 1". "Source of Aid 3" lists the previously granted loans of 620 million CAD, discussed in CAF1. "Source of Aid 4" clarifies that this aid was disbursed on June 17 and it specifies the conditions: the loan maturity is 10 years and the interest rate p.a. is 1.69%.</t>
  </si>
  <si>
    <t>https://www.reuters.com/article/canada-budget-ukraine-aid-idCAKCN2LZ2CL</t>
  </si>
  <si>
    <t>https://www.bnnbloomberg.ca/imf-creates-new-account-to-help-ukraine-as-canada-pledges-funds-1.1749951</t>
  </si>
  <si>
    <t>https://www.theglobeandmail.com/canada/article-federal-budget-2022-ukraine-russia-1-billion-loan/#:~:text=The%20federal%20government%20is%20proposing%20to%20assist%20Ukraine%E2%80%99s,loan%20through%20a%20new%20Canada-led%20international%20financial%20program.</t>
  </si>
  <si>
    <t>https://www.kmu.gov.ua/en/news/minfin-ukrayina-otrimala-1-mlrd-kanadskih-dolariv-vid-kanadi</t>
  </si>
  <si>
    <t>CAF3</t>
  </si>
  <si>
    <t>Canada announced to provide an additional loan of 250 million CAD to support Ukraine. The Minister of Finance that it will be provided through the IMF's Administered Account. Notice that "Source of Aid 1" mentions a total amount of financial aid amounting to 1.87 billion CAD, of which CAF1 to CAF3 covers 1.75 billion CAD (500 million CAD + 1 billion CAD + 250 million CAD). The remaining 120 million CAD (1.87 billion CAD - 1.75 billion CAD) is reflected by a loan announced on Jan 21, so prior to the starting date for our dataset, Jan 24.</t>
  </si>
  <si>
    <t>https://www.canada.ca/en/department-finance/news/2022/05/canada-provides-additional-financial-support-to-ukraine.html</t>
  </si>
  <si>
    <t>https://english.news.cn/northamerica/20220521/316cc7dea3444c36b011aa19617629ac/c.html</t>
  </si>
  <si>
    <t>https://www.republicworld.com/world-news/russia-ukraine-crisis/canada-announces-additional-loan-of-250mn-for-ukraine-as-russian-invasion-enters-day-87-articleshow.html</t>
  </si>
  <si>
    <t>CAF4</t>
  </si>
  <si>
    <t>Prime Minister Trudeau announced the provision of a 200 million CAD loan through the IMF to Ukraine. Furthermore, "Source of Aid 1" mentions additional humanitarian assistance that is reported in CAH5, CAH6, CAH7. Moreover, "Source of Aid 1" re-iterates the pledge of Canada at the Stand Up for Ukraine Event that is covered in CAH3.</t>
  </si>
  <si>
    <t>https://pm.gc.ca/en/news/backgrounders/2022/06/28/additional-canadian-support-ukraine-announced-2022-g7-summit#:~:text=Canada%20will%20provide%20%24200%20million,administrative%20burden%20on%20Ukrainian%20officials.</t>
  </si>
  <si>
    <t>https://www.ctvnews.ca/politics/canada-pledges-more-aid-and-loans-to-ukraine-as-g7-targets-russian-oil-1.5965947</t>
  </si>
  <si>
    <t>CAH1</t>
  </si>
  <si>
    <t>The intention of the donation was to fund development and humanitarian assistance. The 340 million CAD mentioned in "Source of Aid 1" are reported in CAM1.</t>
  </si>
  <si>
    <t>https://www.canada.ca/en/department-national-defence/news/2022/01/canada-extends-and-expands-military-and-other-support-for-the-security-of-ukraine.html</t>
  </si>
  <si>
    <t>CAH2</t>
  </si>
  <si>
    <t>Equipment and assistance</t>
  </si>
  <si>
    <t>Emergency health services (including trauma care), protection, support to displaced people, and essential life-saving services such as shelter, water, sanitation, and food. The aid is directed to those affected by the conflict in Ukraine and neighboring countries. We do not consider aid directed to international organisations that are not explicitly active in Ukraine.</t>
  </si>
  <si>
    <t>https://www.canada.ca/en/global-affairs/news/2022/03/canada-announces-100-million-humanitarian-assistance-to-ukraine.html</t>
  </si>
  <si>
    <t>https://www.canada.ca/en/global-affairs/news/2022/03/canadas-humanitarian-assistance-for-ukraine.html</t>
  </si>
  <si>
    <t>CAH3</t>
  </si>
  <si>
    <t>In occasion of the "Stand up for Ukraine" campaign, which was held in Warsaw on April 9 and organised in cooperation with Canada and the European Commission, the Prime Minister of Canada announced that Canadian humanitarian assistance will be increased with additional 100 million CAD.</t>
  </si>
  <si>
    <t>CAH4</t>
  </si>
  <si>
    <t>To support dairy farmers in Ukraine, Canada announced to provide 2 million CAD without providing further information. Notice that we do not include the committed amount of 9 million CAD in "Source of Aid 1 &amp; 2" as this is devoted to UN organizations.</t>
  </si>
  <si>
    <t>https://www.canada.ca/en/global-affairs/news/2022/05/g7-development-ministers-conclude-successful-meeting-and-issue-statement-on-ukraine.html</t>
  </si>
  <si>
    <t>https://www.ukrinform.net/rubric-ato/3488287-canada-to-provide-cad-9m-in-humanitarian-aid-to-ukraine.html</t>
  </si>
  <si>
    <t>CAH5</t>
  </si>
  <si>
    <t>Canada announced to provide additional humanitarian assistance in the volume of 75 million CAD. Even though this money is provided not directly to Ukraine but rather to several partner organizations, we consider it as the government explicitly states that the total budget is devoted to "humanitarian operations inside Ukraine". Note that the loan discussed in the sources is covered in CAF4 and other humanitarian packages are reported in CAH3, CAH6 and CAH7.</t>
  </si>
  <si>
    <t>CAH6</t>
  </si>
  <si>
    <t>Canada announced to provide 52 million CAD to help Ukraine by providing storage capacities for grain. Thereby, 50 million CAD is devoted to storage and 2 million CAD for complementary equipment. Note that the loan discussed in the sources is covered in CAF4 and other humanitarian packages are reported in CAH3, CAH5 and CAH7.</t>
  </si>
  <si>
    <t>CAH7</t>
  </si>
  <si>
    <t>Canada announced to provide 9.7 million CAD to support Ukrainian institutions regarding human rights violations, especially sexual and gender-based violence. The funding is also devoted to support Ukrainian police and judicial institutions. Note that the loan discussed in the sources is covered in CAF4 and other humanitarian packages are reported in CAH3, CAH5 and CAH6.</t>
  </si>
  <si>
    <t>CAM1</t>
  </si>
  <si>
    <t xml:space="preserve">Aid for military assistance and for the extension and expansion of Operation UNIFIER, the Canadian Armed Forces’ military training and capacity-building mission in Ukraine. The 50 million CAD mentioned in "Source of Aid 1" are reported in CAH1. </t>
  </si>
  <si>
    <t>https://www.netnewsledger.com/2022/01/26/government-of-canada-announces-340-million-for-ukraine/</t>
  </si>
  <si>
    <t>https://www.cmfmag.ca/canadian-government-sends-lethal-weapons-to-ukraine/</t>
  </si>
  <si>
    <t>CAM2</t>
  </si>
  <si>
    <t xml:space="preserve">Undisclosed number of lethal weapons and assorted support items (machine guns, pistols, carbines, 1.5 million rounds of ammunition, sniper rifles, and various related items) for a total value of 7 million USD, which is directed to the Armed Force of Ukraine. </t>
  </si>
  <si>
    <t>https://www.canada.ca/en/department-national-defence/news/2022/02/canada-commits-lethal-weapons-and-ammunition-in-support-of-ukraine.html</t>
  </si>
  <si>
    <t>https://english.almayadeen.net/news/politics/canada-sends-lethal-weapons-to-ukraine</t>
  </si>
  <si>
    <t>CAM3</t>
  </si>
  <si>
    <t>Both lethal and non-lethal military equipment such as protective gear, meal packs, weapons and ammunition. The source mentions 25 million USD in non-lethal weapons, reported in CAM4, military equipment of an unknwon value reported in CAM5, and 1 million USD reported in CAM6.</t>
  </si>
  <si>
    <t>fragmentation vest</t>
  </si>
  <si>
    <t>https://www.canada.ca/en/department-national-defence/news/2022/03/defence-minister-anand-announces-additional-military-support-to-ukraine.html?msclkid=50865665ab9011ecbb2d77d3ecd6e3a6</t>
  </si>
  <si>
    <t>https://tfiglobalnews.com/2022/03/21/canada-wanted-to-supply-weapons-to-ukraine-turns-out-it-didnt-have-any/</t>
  </si>
  <si>
    <t>individual meal pack</t>
  </si>
  <si>
    <t>Carl Gustav M2 recoilless rifle</t>
  </si>
  <si>
    <t>round of 84 mm ammunition</t>
  </si>
  <si>
    <t>CAM4</t>
  </si>
  <si>
    <t>Non-lethal items such as helmets, body armor, gas masks, and night vision gear.</t>
  </si>
  <si>
    <t>https://www.canada.ca/en/global-affairs/news/2022/02/canada-sending-additional-25m-military-aid-to-support-ukraine.html</t>
  </si>
  <si>
    <t>https://www.cbc.ca/news/politics/canada-ukraine-artillery-1.6426132</t>
  </si>
  <si>
    <t>gas mask</t>
  </si>
  <si>
    <t>night vision device</t>
  </si>
  <si>
    <t>CAM5</t>
  </si>
  <si>
    <t>Lethal items, such as M72 rocket launchers and hand grenades. "Source of Aid 1" lists 25 million USD in non-lethal weapons, reported in CAM4, 1 million USD for satellite imaging reported in CAM6 and lethal and non-lethal equipment reported in CAM3.</t>
  </si>
  <si>
    <t>https://www.canada.ca/en/department-national-defence/news/2022/03/defence-minister-anand-announces-additional-military-support-to-ukraine.html</t>
  </si>
  <si>
    <t>hand grenade</t>
  </si>
  <si>
    <t>CAM6</t>
  </si>
  <si>
    <t>Grant amounting to 1 million CAD, which can be used for the purchase of commercial satellite high resolution and modern imagery. "Source of Aid 1" lists a shipment of 4500 M72 rocket launchers as well as 7500 hand grenades, these are included in aid package CAM5, 25 million CAD in non-lethal weapons, reported in CAM4 and lethal and non-lethal equipment reported in CAM3.</t>
  </si>
  <si>
    <t>https://www.ctvnews.ca/politics/a-lot-more-people-are-going-to-die-canada-sending-more-lethal-weapons-to-ukraine-1.5804357</t>
  </si>
  <si>
    <t>CAM7</t>
  </si>
  <si>
    <t>Lethal weapons and non-lethal specialized equipment for military purposes, including Canadian-made cameras for surveillance drones. No further information regarding the shipment has been disclosed. The amount of 10 million USD previously shipped weaponry is included in "Source of Aid 1" in transaction CAM3.</t>
  </si>
  <si>
    <t>Lethal weapons</t>
  </si>
  <si>
    <t>https://www.ctvnews.ca/politics/ukraine-can-t-negotiate-with-gun-to-head-says-joly-as-trudeau-presses-allies-1.5811832</t>
  </si>
  <si>
    <t>https://www.txtreport.com/news/2022-03-10-canada-will-provide-%24-50-million-in-military-assistance-to-ukraine.S1BRwmvb5.html</t>
  </si>
  <si>
    <t>https://www.youtube.com/watch?v=EKzlhntZigE&amp;t=888s</t>
  </si>
  <si>
    <t>drone camera</t>
  </si>
  <si>
    <t>CAM8</t>
  </si>
  <si>
    <t>M777 Howitzers (four Howitzers according to "Source of Aid 2") and Carl Gustaf anti-armour ammunitions were delivered.</t>
  </si>
  <si>
    <t>https://www.canada.ca/en/department-national-defence/news/2022/04/canada-announces-artillery-and-other-additional-military-aid-for-ukraine.html</t>
  </si>
  <si>
    <t>https://www.cbc.ca/news/politics/ukraine-m777-howitzer-russia-heavy-artillery-1.6427762</t>
  </si>
  <si>
    <t xml:space="preserve">https://www.canada.ca/en/department-national-defence/news/2022/04/canada-announces-artillery-and-other-additional-military-aid-for-ukraine.html 
</t>
  </si>
  <si>
    <t>CAM9</t>
  </si>
  <si>
    <t xml:space="preserve">BUDGET DRAWDOWN: 500 million CAD for military assistance in lethal and non-lethal weapons were dedicated to Ukraine in the Canadian budget for the fiscal year 2022-2023 ("Source of Aid 1"). On April 26, up to eight armored vehicles were financed with these means. ("Source of Aid 2"). On May 23, the Defense Minister announced a purchase of 20,000 rounds (worth: 98 million CAD) of artillery ammunition as part of this budget line ("Source of Aid 2"). </t>
  </si>
  <si>
    <t>Roshel Senator 4x4 armored personnel carrier</t>
  </si>
  <si>
    <t>https://globalnews.ca/news/8788360/ukraine-war-canada-armoured-vehicles/</t>
  </si>
  <si>
    <t>https://mil.in.ua/en/news/canada-is-set-to-hand-over-eight-armored-vehicles-to-ukraine/</t>
  </si>
  <si>
    <t>https://mil.in.ua/en/news/ukraine-received-senator-apc-armored-vehicles/</t>
  </si>
  <si>
    <t>round of ammunition for 155mm howitzer</t>
  </si>
  <si>
    <t>https://www.cbc.ca/news/politics/anand-biggest-military-donation-ukraine-1.6463915</t>
  </si>
  <si>
    <t>https://www.ukrinform.net/rubric-ato/3491327-canada-to-give-ukraine-over-20000-155-mm-shells.html</t>
  </si>
  <si>
    <t>https://torontosun.com/news/national/canada-shipping-20000-rounds-of-artillery-ammunition-to-ukraine</t>
  </si>
  <si>
    <t>replacement barrels for M777 howitzer</t>
  </si>
  <si>
    <t>https://www.business-standard.com/article/international/canada-to-provide-further-military-aid-for-ukraine-says-defence-minister-122061600137_1.html</t>
  </si>
  <si>
    <t>CAM10</t>
  </si>
  <si>
    <t>During a visit in Ukraine, the Canadian Prime Minister announced additional military assistance worth 50 million CAD. He states that this package comes on top of what Canada has provided so far, referring to the budget increase (CAM9), previous loans (CAF1, CAF2) and humanitarian assistance (CAH1-CAH3). Note that there is a gap between the 200 million CAD we count and the 245 million CAD, the Prime Minister mentions in "Source of Aid 1". This is because the remaining part has been devoted to international organization, which we do not count (see CAH2, "Source of Aid 2" for a list of the aid we do not count). Finally, "Source of Aid 1" also mentions two additional packages we do not count since they are allotted to international organizations (25 million CAD to the World Food Programme and 10 million CAD to support human rights).</t>
  </si>
  <si>
    <t>https://pm.gc.ca/en/news/news-releases/2022/05/08/prime-minister-visits-kyiv-ukraine</t>
  </si>
  <si>
    <t>https://www.france24.com/en/live-news/20220601-arms-for-ukraine-who-has-sent-what</t>
  </si>
  <si>
    <t>high-resoultion satellity imagery</t>
  </si>
  <si>
    <t>small arm and ammunition</t>
  </si>
  <si>
    <t>CAM11</t>
  </si>
  <si>
    <t>During the NATO summit in Madrid, Justin Trudeau announced that the country was finalizing an agreement on 39 armored vehicles and 6 drone cameras for Ukraine.</t>
  </si>
  <si>
    <t>https://www.cbc.ca/news/politics/nato-arms-canada-1.6506611</t>
  </si>
  <si>
    <t>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t>
  </si>
  <si>
    <t>Armoured Combat Support Vehicles (ACSV)</t>
  </si>
  <si>
    <t>CNH1</t>
  </si>
  <si>
    <t>China</t>
  </si>
  <si>
    <t>Donation in terms of daily necessities of the Chinese Red Cross to Ukraine.</t>
  </si>
  <si>
    <t>CNY</t>
  </si>
  <si>
    <t>https://www.reuters.com/world/china-provide-5-mln-yuan-worth-humanitarian-assistance-ukraine-2022-03-09/</t>
  </si>
  <si>
    <t>CNH2</t>
  </si>
  <si>
    <t>Donation in terms of daily necessities of the Chinese Red Cross to Ukraine. The "5 million CNY" of "Source of Aid 1" refer to CHNH1.</t>
  </si>
  <si>
    <t>https://www.reuters.com/world/china/china-says-it-will-offer-10-mln-yuan-more-humanitarian-aid-ukraine-2022-03-21/</t>
  </si>
  <si>
    <t>HRH1</t>
  </si>
  <si>
    <t>Croatia</t>
  </si>
  <si>
    <t>Goods and equipment that will be provided from the available stockpiles of the Ministry of the Interior, the Ministry of Economy and Sustainable Development, the Ministry of Health, the Ministry of Foreign and European Affairs, and the Croatian Fire Service.</t>
  </si>
  <si>
    <t>HRK</t>
  </si>
  <si>
    <t>https://vlada.gov.hr/news/croatia-sending-emergency-aid-to-ukraine/33960</t>
  </si>
  <si>
    <t>https://hr.n1info.com/english/news/croatia-sends-emergency-aid-worth-e1-2m-to-ukraine-in-wake-of-russias-invasion/</t>
  </si>
  <si>
    <t>https://ba.n1info.com/english/news/croatia-sends-emergency-aid-worth-e1-2m-to-ukraine-in-wake-of-russias-invasion/</t>
  </si>
  <si>
    <t>HRH2</t>
  </si>
  <si>
    <t>Humanitarian aid worth of 1,516,800 HRK.</t>
  </si>
  <si>
    <t>https://civilna-zastita.gov.hr/vijesti/dostavljena-zurna-humanitarna-pomoc-ukrajini-u-organizaciji-ravnateljstva-civilne-zastite/5634</t>
  </si>
  <si>
    <t>https://mup.gov.hr/UserDocsImages/2022/4/112_8.pdf</t>
  </si>
  <si>
    <t>HRH3</t>
  </si>
  <si>
    <t xml:space="preserve">Croatia pledged an additional 5 million EUR contribution during the International Donors' Conference on May 5, 2022 (see 1:06:00 in "Source of Aid 1"). </t>
  </si>
  <si>
    <t>https://hr.n1info.com/svijet/ek-daje-200-mil-eura-za-ukrajince-plenkovic-hrvatska-ce-pomagati-iz-principa/</t>
  </si>
  <si>
    <t>https://www.24sata.hr/news/solidarnost-hrvatska-donirala-5-mil-eura-za-pomoc-ukrajini-833624</t>
  </si>
  <si>
    <t>HRH4</t>
  </si>
  <si>
    <t>16.4 tonnes of aid worth HRK 247311 (EUR 33000) were sent by the Vukovar-Srijem county with the help of cities and municipalities. The aid consists mainly of food, baby food, water and cosmetics.</t>
  </si>
  <si>
    <t>https://www.total-croatia-news.com/politics/63404-vukovar-srijem-county-sends-humanitarian-aid-to-ukraine</t>
  </si>
  <si>
    <t>https://www-vecernji-hr.translate.goog/vijesti/vukovarsko-srijemska-zupanija-uputila-pomoc-ukrajini-znamo-sto-znaci-biti-u-potrebi-1592483?_x_tr_sl=hr&amp;_x_tr_tl=it&amp;_x_tr_hl=it&amp;_x_tr_pto=sc</t>
  </si>
  <si>
    <t>https://www.vecernji.hr/vijesti/vukovarsko-srijemska-zupanija-uputila-pomoc-ukrajini-znamo-sto-znaci-biti-u-potrebi-1592483</t>
  </si>
  <si>
    <t>HRM1</t>
  </si>
  <si>
    <t xml:space="preserve">Protective military equipment and infantry weapons. No further information regarding the shipment has been disclosed.  </t>
  </si>
  <si>
    <t>https://vlada.gov.hr/news/croatia-had-sided-with-freedom-and-democracy-and-with-the-ukrainian-people-which-is-the-only-right-way/34979</t>
  </si>
  <si>
    <t>https://www.total-croatia-news.com/politics/60689-support-measures-for-ukraine</t>
  </si>
  <si>
    <t>https://www.jutarnji.hr/vijesti/hrvatska/donesen-paket-mjera-za-ukrajinu-hrvatska-salje-opremu-i-naoruzanje-u-vrijednosti-124-milijuna-kuna-15163892</t>
  </si>
  <si>
    <t>https://twitter.com/visegrad24/status/1503313508980637696</t>
  </si>
  <si>
    <t> CYH1</t>
  </si>
  <si>
    <t>Cyprus</t>
  </si>
  <si>
    <t xml:space="preserve">Cyprus has dispatched two shipments of humanitarian aid to Ukraine. The first one was sent on March 8, 2022, and includes a total of 150 tons of humanitarian aid, including 80 tons of food supplies (infant milk and food, flour, long life food), shelter equipment (sleeping bags, tents, blankets, biological toilets), 13 tons of medical supplies and medicines, 5000 pairs of shoes, 22500 liters of bottled water, electricity generator, personal hygiene kits and other civil protection and first aid equipment. The second one, instead, was sent on the 6.04.2022. No information regarding the second shipment has been disclosed. The total value of the two shipments is equal to 2 million EUR. </t>
  </si>
  <si>
    <t>ton of food</t>
  </si>
  <si>
    <t>https://mfa.gov.cy/press-releases/2022/03/09/cyprus-humanitarian-aid-to-ukraine/</t>
  </si>
  <si>
    <t>https://cyprus-mail.com/2022/04/06/aid-for-ukraine-now-tops-e2-million/</t>
  </si>
  <si>
    <t>ton of medical equipment</t>
  </si>
  <si>
    <t>liter of bottled water</t>
  </si>
  <si>
    <t>pair of shoes</t>
  </si>
  <si>
    <t>CYH2</t>
  </si>
  <si>
    <t>On June 3, it was reported that a third tranche of humanitarian aid (the first two tranches are covered in CYH1) is ready to be sent to Ukraine. According to "Source of Aid 1", this has a value of 500,000 EUR and "includes mainly medical equipment such as respirators, defibrillators and first aid supplies".</t>
  </si>
  <si>
    <t>https://in-cyprus.philenews.com/cyprus-third-humanitarian-aid-package-to-war-torn-ukraine-ready-to-be-shipped-photos/</t>
  </si>
  <si>
    <t>https://cyprus-mail.com/2022/06/03/third-humanitarian-aid-shipment-heading-to-ukraine/</t>
  </si>
  <si>
    <t>CZM1</t>
  </si>
  <si>
    <t>Czech Republic</t>
  </si>
  <si>
    <t>152mm artillery ammunition for different howitzers and self-propelled guns for a total of 36.6 million CZK.</t>
  </si>
  <si>
    <t>CZK</t>
  </si>
  <si>
    <t>https://www.czdefence.com/article/czech-republic-donates-artillery-ammunition-worth-czk-366-million-to-ukraine</t>
  </si>
  <si>
    <t>https://czechdaily.cz/the-czech-republic-is-sending-thousands-of-artillery-shells-to-ukraine/</t>
  </si>
  <si>
    <t>CZM2</t>
  </si>
  <si>
    <t>Weapons and ammunitions of various types, including pistols, machine guns, submachine guns and sniper rifles.</t>
  </si>
  <si>
    <t>9mm pistol vz. 82</t>
  </si>
  <si>
    <t>https://www.vlada.cz/cz/media-centrum/aktualne/vlada-schvalila-dalsi-dar-v-podobe-vojenskeho-materialu-ukrajine-194585/</t>
  </si>
  <si>
    <t>7.62 mm assault rifle vz. 58</t>
  </si>
  <si>
    <t>hub NB 7.62-43</t>
  </si>
  <si>
    <t>hub NB 7.62-SV 43</t>
  </si>
  <si>
    <t>7.65mm submachine gun vz. 61 Scorpio</t>
  </si>
  <si>
    <t>hub NB 7.65-Browning</t>
  </si>
  <si>
    <t>7.62 mm universal machine gun vz.59</t>
  </si>
  <si>
    <t>7.62 mm sniper rifle Dragunov</t>
  </si>
  <si>
    <t>hub NB 7,62-59 (TŽ, OKRAJ.)</t>
  </si>
  <si>
    <t>hub NB 7,62-SV 59 (TŽ-SV)</t>
  </si>
  <si>
    <t>hub NB 7,62-PZ 59 (PZ EDGE)</t>
  </si>
  <si>
    <t>12.7mm sniper rifle Falcon</t>
  </si>
  <si>
    <t>CZM3</t>
  </si>
  <si>
    <t>Lethal and non-lethal items, worth 400 million CZK. "Source of Aid 3" speaks of 188 million CZK, reported in CZM2.</t>
  </si>
  <si>
    <t>shoulder fired MANPAD</t>
  </si>
  <si>
    <t>https://www.vlada.cz/cz/media-centrum/aktualne/vlada-petra-fialy-schvalila-dalsi-vojenskou-pomoc-bojujici-ukrajine-194603/</t>
  </si>
  <si>
    <t>https://www.praguemorning.cz/czech-governmenet-approves-czk-400-million-in-military-aid-for-ukraine/</t>
  </si>
  <si>
    <t>https://www.politico.com/news/2022/03/22/ukraine-weapons-military-aid-00019104</t>
  </si>
  <si>
    <t>https://www.rferl.org/a/czech-republic-poland-new-military-aid-ukraine/31873938.html</t>
  </si>
  <si>
    <t>light machine gun</t>
  </si>
  <si>
    <t>assault rifle</t>
  </si>
  <si>
    <t>submachine gun</t>
  </si>
  <si>
    <t>bullet</t>
  </si>
  <si>
    <t>tactical gloves</t>
  </si>
  <si>
    <t>CZM4</t>
  </si>
  <si>
    <t xml:space="preserve">Weapons, ammunitions and equipment, worth 17 million crowns. The delivery was made by Czech arm manufactures, but it has been scrutinized and negotiated with the Czech Government. </t>
  </si>
  <si>
    <t>https://www.vlada.cz/cz/media-centrum/aktualne/vlada-schvalila-dalsi-materialni-pomoc-pro-ukrajinu-a-opatreni-na-pomoc-se-zvladnutim-migracni-krize-194727/</t>
  </si>
  <si>
    <t>https://english.radio.cz/czech-republic-sending-more-arms-ukraine-8743811</t>
  </si>
  <si>
    <t>CZM5</t>
  </si>
  <si>
    <t>According to a government spokesman's statement, the Czech Government plans to deliver further military aid worth 31.5 million USD to Ukraine (see "Source of Aid 3"). "Source of Aid 1" cites 750 million CZK of total military assistance, delivered to Ukraine before this aid package. This sum is reported in transactions CZM1-CZM4, CZM6, and in CZM8-CZM10.</t>
  </si>
  <si>
    <t>https://english.radio.cz/czech-republic-send-more-arms-ukraine-8745032</t>
  </si>
  <si>
    <t>https://www.reuters.com/article/ukraine-crisis-czech-arms-idUSL2N2VG078</t>
  </si>
  <si>
    <t>https://edition.cnn.com/europe/live-news/ukraine-russia-putin-news-03-13-22/h_025dcb1758c374a11f208c39d687f1b0</t>
  </si>
  <si>
    <t>CZM6</t>
  </si>
  <si>
    <t>Military material. No further Information has been disclosed. "Source of Aid 1" lists additional donations reported in CZH1-CZH4, CZM1-CZM4, and in CZM8-CZM12.</t>
  </si>
  <si>
    <t>https://www.vlada.cz/cz/media-centrum/aktualne/informace-v-souvislosti-s-invazi-ruska-na-ukrajinu-194507/</t>
  </si>
  <si>
    <t>CZM7</t>
  </si>
  <si>
    <t>22 ballistic vests (protective gear). "Source of Aid 1" lists additional donations reported in CZH1-CZH4, CZM1-CZM4, CZM6 and in CZM8-CZM12.</t>
  </si>
  <si>
    <t>CZM8</t>
  </si>
  <si>
    <t>unspecified</t>
  </si>
  <si>
    <t>Equipment, ballistic protection, optical and other small material to Ukraine for a total of 53.26 million crowns. "Source of Aid 1" lists additional donations reported in CZH1-CZH4, CZM1-CZM4, CZM6, CZM7 and in CZM9-CZM12.</t>
  </si>
  <si>
    <t>CZM9</t>
  </si>
  <si>
    <t>until 3/10/2022</t>
  </si>
  <si>
    <t>Fuel and petrol for the Ukraine Armed Forces. "Source of Aid 2" lists additional donations reported in CZH1-CZH4, in CZM1-CZM4, CZM6-CZM8, and CZM10-CZM12.</t>
  </si>
  <si>
    <t>https://www.vlada.cz/cz/media-centrum/aktualne/vlada-kvuli-migracni-krizi-vyhlasila-od-patku-nouzovy-stav--schvalila-i-dalsi-pomoc-pro-ukrajinu-a-navrh-na-zvyseni-vydaju-na-obranu-194695/</t>
  </si>
  <si>
    <t>CZM10</t>
  </si>
  <si>
    <t>The aid package consists of 6 fire engines. "Source of Aid 1" lists additional donations reported in CZH1-CZH4, CZM6-CZM9 and CZM11-CZM12.</t>
  </si>
  <si>
    <t>fire-engine</t>
  </si>
  <si>
    <t>CZM11</t>
  </si>
  <si>
    <t>Weapons and equipment. Official sources did not disclose the value of the shipment and, since we could always rely on Czech official sources, we decided not to report rumors or unconcise statements of politicians, such as the one made by the Czech Minister of Defense, who spoke vaguely on the March 13 about doubling the military assistance (see CZM5). "Source of Aid 2" lists additional donations reported in  CZH1-CZH4, CZM1-CZM4, CZM6- CZM10, CZM12.</t>
  </si>
  <si>
    <t>CZM12</t>
  </si>
  <si>
    <t>Provision of defense material, with no reference to lethal items in the source. 52 ballist vests are included in the shipment. Moreover, "Source of Aid 1" lists additional donations reported in CZH1-CZH4, CZM1-CZM4, CZM6-CZM10.</t>
  </si>
  <si>
    <t>CZM13</t>
  </si>
  <si>
    <t>Help in armoured vehicle servicing.</t>
  </si>
  <si>
    <t>https://www.czdefence.com/article/ukrainian-armoured-vehicles-will-be-repaired-in-the-czech-republic#:~:text=Ukrainian%20armoured%20vehicles%20will%20be%20repaired%20in%20the%20Czech%20Republic,-19.&amp;text=The%20Ministry%20of%20Defence%20of,the%20Czech%20Republic%20and%20Slovakia.</t>
  </si>
  <si>
    <t>CZM14</t>
  </si>
  <si>
    <t xml:space="preserve">According to unofficial sources, Czech Republic has been sending tanks since the beginning of the conflict. On April 5, photos of 5 T72 and 5 BVP-1 infantry fighting vehicles leaving to Ukraine from Czech Republic have started circulating in social networks. Thanks to new information on the weapons swap between Germany and Czech Republic (see Source of Aid 3), we know that Czech Republic has sent 20 T-72 tanks and will receive 14 Leopard 2 A4 models and one rescue tank based on Leopard, from Germany. </t>
  </si>
  <si>
    <t>T72 tank</t>
  </si>
  <si>
    <t>https://www.reuters.com/world/europe/czech-republic-sends-tanks-ukraine-czech-tv-reports-2022-04-05/</t>
  </si>
  <si>
    <t>https://echo24.cz/a/SrjYb/cesko-poslalo-na-ukrajinu-desitky-tanku-t-72-a-bvp</t>
  </si>
  <si>
    <t>https://www.wsj.com/articles/ukraine-quietly-receives-tanks-from-czech-republic-to-support-war-effort-11649160666</t>
  </si>
  <si>
    <t>https://english.radio.cz/german-defence-ministry-provides-further-details-tank-donation-czechia-8751010</t>
  </si>
  <si>
    <t>https://kafkadesk.org/2022/04/06/czech-republic-becomes-first-country-to-send-tanks-to-ukraine/</t>
  </si>
  <si>
    <t>BVP-1 infantry fighting vehicle</t>
  </si>
  <si>
    <t>CZM15</t>
  </si>
  <si>
    <t>Lethal and non-lethal items."Source of Aid 2" lists additional sources reported in CZH1-CZH4, CZM1-CZM4, CZM6- CZM10, CZM12 and CZM14.</t>
  </si>
  <si>
    <t>CZM16</t>
  </si>
  <si>
    <t>unclear, 04/2022</t>
  </si>
  <si>
    <t xml:space="preserve">Shipment of RM-70 Multiple Rocket Launchers and Dana Howitzers. This shipment comes in addition of the T72 tanks, 152 mm field guns and BMP1 reported in CZM14 and CZM13. </t>
  </si>
  <si>
    <t>RM-70 multiple rocket launcher</t>
  </si>
  <si>
    <t>https://mezha.media/en/2022/04/15/new-weapon-deliveries-from-the-czech-republic-dana-self-propelled-artillery-and-rm-70-multiple-rocket-launcher/</t>
  </si>
  <si>
    <t>https://gagadget.com/en/129425-they-will-pour-armed-forces-of-ukraine-have-already-received-czech-multiple-launch-rocket-systems-rm-70/</t>
  </si>
  <si>
    <t>Dana Howitzer</t>
  </si>
  <si>
    <t>CZM17</t>
  </si>
  <si>
    <t>Attack helicopters. According to "Source of Aid 1", Czech Republic will most likely send the Mi-24 helicopters, since they are Soviet in origin and thus require little-to-no training. Also, according to "Source of Aid 2" Czech Republic will probably send all Mi-24 in stock, namely seven units.</t>
  </si>
  <si>
    <t>Mi-24 attack helicopter</t>
  </si>
  <si>
    <t>https://www.flightglobal.com/helicopters/czech-republic-sending-attack-helicopters-to-ukraine/148770.article</t>
  </si>
  <si>
    <t>https://en.defence-ua.com/industries/czechia_sends_ukraine_mi_24_attack_helicopters-3051.html</t>
  </si>
  <si>
    <t>https://theaviationgeekclub.com/czech-republic-has-transferred-attack-helicopters-likely-mil-mi-24-hinds-to-ukraine/</t>
  </si>
  <si>
    <t>CZM18</t>
  </si>
  <si>
    <t>The Czech Ministry of Defense declared that the Czech Republic will send in between 26 and 30 million USD  in additional in-kind military aid to Ukraine. The 150 million USD mentioned in "Source of Aid 1" are covered in CZM1-CZM15. We do not consider the CZM16 being part of the 150 million USD mentioned in "Source of Aid 1", since it is only a commitment, whereas the source explicitly refers to the monetary value of the deliveries. No detail regarding the items was revealed.</t>
  </si>
  <si>
    <t>CZH1</t>
  </si>
  <si>
    <t>Release of 300 million CZK for humanitarian assistance. These funds will be used for the immediate needs of the civilian population of Ukraine, especially medical supplies and medical capacities, and for needs related to forced displacement (i.e. emergency accommodation, provision of drinking water, food, other basic material needs and health care). "Source of Aid 1" lists additional sources reported in CZH1-CZH4 and in CZM6-CZM11.</t>
  </si>
  <si>
    <t>https://czechdaily.cz/the-government-will-send-to-ukraine-czk-300-million-in-aid/</t>
  </si>
  <si>
    <t>https://www.vlada.cz/cz/media-centrum/aktualne/bezpecnostni-rada-statu-se-zabyvala-aktualni-bezpecnostni-situaci-po-napadeni-nezavisle-ukrajiny-vojsky-ruske-federace-194513/</t>
  </si>
  <si>
    <t>CZH2</t>
  </si>
  <si>
    <t xml:space="preserve">Medical supplies. "Source of Aid 1" mentions additional 10 million in tied cash assistance. This is reported in CZH2. </t>
  </si>
  <si>
    <t>https://www.expats.cz/czech-news/article/czech-republic-to-donate-100-million-crowns-of-medical-supplies-to-ukraine?msclkid=70d47c46ab9e11eca12fbfc7dff1390d</t>
  </si>
  <si>
    <t>CZH3</t>
  </si>
  <si>
    <t>Tied cash assistance of 10 million CZK for the purchase of medical supplies. "Source of Aid 1" mentions additional 108 million CZK being contributed through in-kind donations. This is reported in CZH1.</t>
  </si>
  <si>
    <t>CZH4</t>
  </si>
  <si>
    <t>Assistance and Equipment</t>
  </si>
  <si>
    <t xml:space="preserve">Assistance to the International Committee of Red Cross in Ukraine. Since the package is directed to the Red Cross in Ukraine and, thus, constitutes a direct flow into Ukraine, we included it in the dataset. "Source of Aid 1" lists additional sources reported in CZH1-CZH3, CZM1-CZM4 and in CZM6-CZM11. 
</t>
  </si>
  <si>
    <t>CZH5</t>
  </si>
  <si>
    <t>Humanitarian donation in form of durable food for internally displaced people. This is in addition to the remaining packages mentioned by the source and reported in our dataset: the 36.6 million CZK in CZM1, 188 million CZK in CZM2, 400 million CZK in CZM3, 24 million CZK in CZM6, 10 million CZK in CZH2, 300 million CZK in CZH3, 25 million CZK in CZH4, 30 million CZK in CZM9, 53.26 million CZK in CZM8, 4.5 million CZK in CZM10, 857,000 CZK in CZM12 and 133 million CZK in CZM14. The remainder of the aid reported in the source is not directed to Ukraine and, hence, is not reported in our dataset.</t>
  </si>
  <si>
    <t>CZH6</t>
  </si>
  <si>
    <t>Humanitarian aid (01:33:00 of "Source of Aid 1"). No further information has been disclosed.</t>
  </si>
  <si>
    <t>CZH7</t>
  </si>
  <si>
    <t xml:space="preserve">Donation of two temporary bridges for civilian transport. </t>
  </si>
  <si>
    <t>temporary bridge</t>
  </si>
  <si>
    <t>https://mil.in.ua/en/news/ukraine-has-received-two-temporary-bridges-for-civilian-transport-from-the-czech-republic/</t>
  </si>
  <si>
    <t>CZH8</t>
  </si>
  <si>
    <t>The shipment amounts to 100 million CZK and includes medical equipment, firefighting equipment and workwear. Among all, it also includes 3.64 million disposable gloves and around 500,000 single-use protective suits.</t>
  </si>
  <si>
    <t>disposable glove</t>
  </si>
  <si>
    <t>https://english.radio.cz/czech-republic-sends-further-humanitarian-aid-ukraine-8752601</t>
  </si>
  <si>
    <t>single-use protective suit</t>
  </si>
  <si>
    <t>DKH1</t>
  </si>
  <si>
    <t>Denmark</t>
  </si>
  <si>
    <t>not specified, 03/2022</t>
  </si>
  <si>
    <t>Cars, generators and more. The operation is coordinated by the Danish Emergency Management Facility. Note that the total sum of 668 million DKK reported in "Source of Aid 1" can be divided into 8 million DKK, 20 million DKK (DKH2), 10 million DKK (DKH3), 50 million DKK (DKH4), 50 million DKK (DKH5) and 140 million DKK (DKH6). Additionally, the package consisting of 150 million DKK directed to the World Bank corresponds to the Danish share of 20 million EUR reported in DKF1. We do not consider the remaining packages cited in the source, since they all represent flows going to international organizations: 105 million DKK to UN organizations (UNHCR, OCHA, UNICEF), 115 million DKK to Danish and International organizations and 20 million DKK to the International Red Cross.</t>
  </si>
  <si>
    <t>DKK</t>
  </si>
  <si>
    <t>https://um.dk/danida/lande-og-regioner/ukraine</t>
  </si>
  <si>
    <t>DKH2</t>
  </si>
  <si>
    <t>Infrastructure</t>
  </si>
  <si>
    <t>Construction of a civilian mobile hospital. The operation is coordinated by the Danish Emergency Management Facility. For the further amounts reported in "Source of Aid 1", see explanation in DKH1.</t>
  </si>
  <si>
    <t>DKH3</t>
  </si>
  <si>
    <t>Fund of 10 million DKK to finance Danish civil society organizations working in Ukraine. The aid focuses on protection, food and emergency shelter. For an explanation about additional amounts reported in "Source of Aid 1", refer to DKH1.</t>
  </si>
  <si>
    <t>DKH4</t>
  </si>
  <si>
    <t>Drugs and medical equipment for Ukraine and neighboring countries, aimed at assisting Ukrainian refugees. For an explanation about additional amounts reported in "Source of Aid 1", refer to DKH1.</t>
  </si>
  <si>
    <t>DKH5</t>
  </si>
  <si>
    <t>Drugs, as a response to a request made by Ukraine through the EU's Crisis Response Team (HERA). For an explanation about additional amounts reported in "Source of Aid 1", refer to DKH1.</t>
  </si>
  <si>
    <t>https://sum.dk/nyheder/2022/marts/danmark-donerer-medicin-og-medicinsk-udstyr-til-ukraine</t>
  </si>
  <si>
    <t>DKH6</t>
  </si>
  <si>
    <t>not specified, 05/2022</t>
  </si>
  <si>
    <t>Additional 140 million DKK for humanitarian efforts in Ukraine. It will be allocated to focus on war crimes in Ukraine. Since no further information was disclosed, we cannot determine whether the amount will be devoted directly to Ukraine or to international organizations. To avoid underestimating the true extent of assistance, we include this amount in our data.</t>
  </si>
  <si>
    <t>https://um.dk/en/danida/countries-and-regions/ukraine#:~:text=Denmarks%20has%20allocated%20another%20DKK,war%20crimes%20committed%20in%20Ukraine.</t>
  </si>
  <si>
    <t>DKM1</t>
  </si>
  <si>
    <t>On April 21, the Prime Minister announced to provide additional military aid for 600 million DKK. She declared that this would bring the total military assistance to Ukraine to 1 billion DKK. This implies that Denmark has previously provided military assistance worth 400 million DKK (see "Source of Aid 1"). This prior assistance includes at least the announcement to send anti-tank missiles, anti-aircraft systems, drones as well as protective vests and hygiene kits (see "Source of Aid 2", "Source of Aid 3"). "Source of Aid 4" reports that as part of the 600 million DKK, Denmark sent armored personnel carriers, anti-tank mines and mortars as well as mortar shells.</t>
  </si>
  <si>
    <t>https://www.reuters.com/world/europe/spains-pm-sanchez-denmarks-pm-frederiksen-visit-kyiv-2022-04-21/</t>
  </si>
  <si>
    <t>https://www.armyrecognition.com/defense_news_april_2022_global_security_army_industry/denmark_approves_delivery_of_m113_tracked_armored_vehicles_and_ammunition_to_ukraine.html</t>
  </si>
  <si>
    <t>https://en.kriseinformation.dk/denmarks-reactions/denmarks-contributions</t>
  </si>
  <si>
    <t>https://militaryleak.com/2022/05/01/denmark-to-send-m113-armored-personnel-carriers-and-weapons-to-ukraine/</t>
  </si>
  <si>
    <t>https://www.youtube.com/watch?v=S4G4kaNLqbk</t>
  </si>
  <si>
    <t>Stinger anti-aircraft system</t>
  </si>
  <si>
    <t>https://www.globaldefensecorp.com/2022/03/04/denmark-delivered-2700-anti-tank-rockets-and-300-stinger-missiles-to-ukraine/</t>
  </si>
  <si>
    <t>Skywatch drone</t>
  </si>
  <si>
    <t>hygiene kit</t>
  </si>
  <si>
    <t>mine</t>
  </si>
  <si>
    <t>M10 mortar</t>
  </si>
  <si>
    <t>M10 mortar shell</t>
  </si>
  <si>
    <t>DKM2</t>
  </si>
  <si>
    <t>until 5/31/2022</t>
  </si>
  <si>
    <t>Denmark pledged to deliver one Harpoon coastal defense missile system, together with an undisclosed number of missiles and other equipment such as ballistic vests. As the Defence Minister of Denmark stated in an interview on May 31, the total military aid has by then reached 2 billion DKK (see "Source of Aid 1"). So accounting for the reported 1 billion DKK in DKM1, we only report 1 billion DKK in this entry in order to avoid double counting.</t>
  </si>
  <si>
    <t>Harpoon coastal defense missile system</t>
  </si>
  <si>
    <t>https://cphpost.dk/?p=134195</t>
  </si>
  <si>
    <t>https://www.reuters.com/article/us-ukraine-crisis-harpoon-idUKKCN2N91YC</t>
  </si>
  <si>
    <t>https://www.euractiv.com/section/politics/short_news/denmark-to-send-harpoon-launchers-missiles-to-ukraine/</t>
  </si>
  <si>
    <t>https://mil.in.ua/en/news/harpoon-what-is-known-about-danish-coastal-missile-systems/</t>
  </si>
  <si>
    <t>https://www.reuters.com/world/europe/ukraine-receives-harpoon-missiles-howitzers-says-defence-minister-2022-05-28/</t>
  </si>
  <si>
    <t>Harpoon coastal defense missile</t>
  </si>
  <si>
    <t>DKF1</t>
  </si>
  <si>
    <t>Denmark has contributed 20 million EUR to the Multi donor trust fund, established by the World Bank to facilitate financial support to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Latvia, Lithuania and Iceland with 12 million USD (together), Austria with 10 million EUR as well and Japan with 100 million USD.</t>
  </si>
  <si>
    <t>https://www.worldbank.org/en/news/press-release/2022/03/07/world-bank-mobilizes-an-emergency-financing-package-of-over-700-million-for-ukraine</t>
  </si>
  <si>
    <t>https://um.dk/en/danida/countries-and-regions/ukraine#:~:text=World%20Bank%3A%20DKK%20150%20million%20(approx.&amp;text=DKK%20150%20million%20(EUR%2020.2,billion)%20to%20the%20Ukrainian%20government.</t>
  </si>
  <si>
    <t>EEM1</t>
  </si>
  <si>
    <t>Estonia</t>
  </si>
  <si>
    <t>until 6/7/2022</t>
  </si>
  <si>
    <t xml:space="preserve">The military assistance from Estonia to Ukraine has been estimated at around 240 million EUR (see "Source of Aid 5"). In comparison to the previous update of our dataset (May 10, 2022) this is an increase of 20 million EUR.  The shipment includes: missiles for anti-tank weapon system Javelin; Javelin launchers; ammunition; medical equipment; personal equipment; 25,000 field rations announced on 25 February; an undisclosed number of D-30 howitzers, originally put forward on December 30, 2021, but stalled due to required approval from their previous owner - Germany (approved on February 26) and Finland (approved on February 27). This list should only be considered as indicative, since most of the information regarding the assistance has remained undisclosed. </t>
  </si>
  <si>
    <t>food ration M</t>
  </si>
  <si>
    <t xml:space="preserve">https://vm.ee/en/humanitarian-aid-ukraine#:~:text=Estonian%20people%2C%20government%20and%20private,aid%20to%20Ukraine%20in%20total &amp;text=Govermental%20aid%20means%20means%20assistance,state%20budget%20through%20state%20agencies </t>
  </si>
  <si>
    <t>https://kaitseministeerium.ee/en/news/estonia-donated-missiles-anti-tank-weapon-system-javelin-ukraine</t>
  </si>
  <si>
    <t>https://news.err.ee/1608589426/estonia-s-military-aid-to-ukraine-totals-230-million</t>
  </si>
  <si>
    <t>https://news.err.ee/1608555886/estonia-s-220-million-military-aid-to-ukraine-substantially-diversified</t>
  </si>
  <si>
    <t>https://www.ukrinform.net/rubric-polytics/3501933-estonia-has-provided-240m-in-military-aid-to-ukraine-korniyenko.html</t>
  </si>
  <si>
    <t>Javelin anti-tank missile</t>
  </si>
  <si>
    <t>D-30 Howitzer</t>
  </si>
  <si>
    <t>minesweeper</t>
  </si>
  <si>
    <t>single-use anti-tank granade launcher</t>
  </si>
  <si>
    <t>recoiless anti-tank gun</t>
  </si>
  <si>
    <t>automatic fire arm</t>
  </si>
  <si>
    <t>small-calibre ammunition</t>
  </si>
  <si>
    <t>fuse</t>
  </si>
  <si>
    <t>lifejacket</t>
  </si>
  <si>
    <t>radio transmitter</t>
  </si>
  <si>
    <t>drone</t>
  </si>
  <si>
    <t>thermal imagery system</t>
  </si>
  <si>
    <t>laser rangefinder</t>
  </si>
  <si>
    <t>Mambas 4x4 armoured vehicle</t>
  </si>
  <si>
    <t>https://www.armyrecognition.com/ukraine_-_russia_conflict_war_2022/mamba_mk_2_4x4_armored_vehicles_formerly_from_estonian_army_now_used_by_ukrainian_soldiers.html?jampmain</t>
  </si>
  <si>
    <t>EEM2</t>
  </si>
  <si>
    <t xml:space="preserve">Liters of fuel. See bottom of "Source of Aid1". The rest of the aid mentioned in the source is reported under the id EEM1. </t>
  </si>
  <si>
    <t>liter of fuel M</t>
  </si>
  <si>
    <t>EEH1</t>
  </si>
  <si>
    <t>until 5/26/2022</t>
  </si>
  <si>
    <t>The government of Estonia has sent a total amount of 1,949,999 EUR in humanitarian aid to Ukraine. This is a marginal increase compared to the previous version of our dataset (we reported 1,694,212 EUR in the data published on May 10). We report the military donation mentioned in "Source of Aid 1" in EEM1. Also, we do not count the private donations reported in "Source of Aid 1".</t>
  </si>
  <si>
    <t>EEH2</t>
  </si>
  <si>
    <t>Reconstruction</t>
  </si>
  <si>
    <t xml:space="preserve">The Prime Minister Kallas has pledged 2.9 million EUR in aid for reconstruction in Ukraine.  </t>
  </si>
  <si>
    <t>https://twitter.com/kajakallas/status/1522215001934557186</t>
  </si>
  <si>
    <t>FIH1</t>
  </si>
  <si>
    <t>Finland</t>
  </si>
  <si>
    <t>Finland provided 4 million EUR in additional support. Of this total amount, "Source of Aid 1" allows a more detailed differentiation. We do not count 1.5 million EUR that are devoted to strenghten human rights via the Council of Europe Action Programme and OSCE projects as well as further 0.5 million that are devoted to international organizations. Nevertheless, we count the remaining sum of 2 million EUR, as 1 million EUR is channelled to the Red Cross operating in Ukraine and the other 1 million EUR is for humanitarian aid.</t>
  </si>
  <si>
    <t>https://um.fi/press-releases/-/asset_publisher/ued5t2wDmr1C/content/suomi-myontaa-4-miljoonaa-euroa-lisatukea-ukrainalle-kehitysyhteistyon-ja-humanitaarisen-avun-kautta/35732</t>
  </si>
  <si>
    <t>FIH2</t>
  </si>
  <si>
    <t>A first package of humanitarian aid, including emergency accomodations for 5,000 people as well as further protective equipment. No further information regarding the shipment was provided.</t>
  </si>
  <si>
    <t>https://intermin.fi/en/ukraine/civilian-assistance-to-ukraine</t>
  </si>
  <si>
    <t>FIH3</t>
  </si>
  <si>
    <t>A second package of humanitarian aid, including again emergency acoomodations for 5,000 people, as well as other equipment.</t>
  </si>
  <si>
    <t>field kitchen</t>
  </si>
  <si>
    <t>shower tent</t>
  </si>
  <si>
    <t>general purpose tent</t>
  </si>
  <si>
    <t>FIH4</t>
  </si>
  <si>
    <t>3/4/2022 until 3/11/2022</t>
  </si>
  <si>
    <t>Delivery of medical protective equipment as well as medical supplies to Ukraine. No further information regarding the shipment was provided. Moreover, the shipment also included private donations.</t>
  </si>
  <si>
    <t>FIH5</t>
  </si>
  <si>
    <t>Finland sent two fire engines to Ukraine</t>
  </si>
  <si>
    <t>FIH6</t>
  </si>
  <si>
    <t>Finland sent four ambulances to Ukraine.</t>
  </si>
  <si>
    <t>FIH7</t>
  </si>
  <si>
    <t>Finland sent another two ambulances to Ukraine.</t>
  </si>
  <si>
    <t>FIH8</t>
  </si>
  <si>
    <t>FIH9</t>
  </si>
  <si>
    <t>Finland sent medical supplies and dosimeters to Ukraine. No further information regarding the shipment is provided.</t>
  </si>
  <si>
    <t>FIH10</t>
  </si>
  <si>
    <t>Finland announced that it has sent "rescue service supplies and equipment", however, without providing further information regarding the shipment.</t>
  </si>
  <si>
    <t>FIH11</t>
  </si>
  <si>
    <t>Finland sent another ambulance to Ukraine.</t>
  </si>
  <si>
    <t>FIH12</t>
  </si>
  <si>
    <t>Finland sent another two ambulances as well as rescue service supplies and protective overalls, however, without providing more information regarding the two latter mentioned items.</t>
  </si>
  <si>
    <t>FIH13</t>
  </si>
  <si>
    <t xml:space="preserve">Two ambulances and rescue services. No further information has been disclosed. </t>
  </si>
  <si>
    <t>https://valtioneuvosto.fi/en/-/1410869/finland-sent-additional-civilian-material-assistance-to-ukraine-and-moldova</t>
  </si>
  <si>
    <t>FIM1</t>
  </si>
  <si>
    <t>According to "Source of Aid 1", the Ministry of Defense stated that the total value of military support that Finland sent to Ukraine until May 4 amounts to 29.3 million EUR. We document four announcements from the Ministry of Defense until this date. This sum includes two packages from February 27 and 28 (where information on the content of the shipment was provided). The two further announcements, from March 24 and April 19, include no further information regarding the content or value of the shipment. Note that "Source of Aid 3" from the package announced on February 27 also lists aid from Sweden (5,000 anti-tank weapons, 5,000 helmets, 5,000 body armors and 135,000 field rations), reported in SEM1, and a package of 500 million EUR from the European Union, reported in EUM1.</t>
  </si>
  <si>
    <t>https://suomenkuvalehti.fi/paajutut/viela-vuoden-alussa-aseapu-ukrainalle-oli-tabu-sitten-lannen-mitta-tayttyi-kaannamme-maat-ja-taivaat-venajan-lyomiseksi/?shared=1219900-dfafb371-500</t>
  </si>
  <si>
    <t>https://www.defmin.fi/en/topical/press_releases_and_news/finland_sends_additional_aid_to_ukraine.12482.news#c7898b3c</t>
  </si>
  <si>
    <t>https://www.helsinkitimes.fi/finland/finland-news/domestic/21086-finland-commits-military-protective-equipment-to-ukraine.html</t>
  </si>
  <si>
    <t>https://yle.fi/news/3-12335944</t>
  </si>
  <si>
    <t>stretcher</t>
  </si>
  <si>
    <t>https://valtioneuvosto.fi/en/-/finland-to-send-arms-assistance-to-ukraine#:~:text=On%20the%20proposal%20of%20the%20Government%2C%20the%20President,combat%20ration%20packages%20to%20Ukraine%20as%20material%20aid.?msclkid=43fcac85ab7811ecb0558f7b82e56a26</t>
  </si>
  <si>
    <t>https://edition.cnn.com/europe/live-news/ukraine-russia-news-02-28-22/h_a60e1971e20b82d25ce7ce24657afcbb</t>
  </si>
  <si>
    <t>https://www.tasnimnews.com/en/news/2022/05/06/2706116/finland-to-send-more-defense-aid-to-ukraine</t>
  </si>
  <si>
    <t>cartridge for the attack rifle</t>
  </si>
  <si>
    <t>single-shot anti-tank weapon</t>
  </si>
  <si>
    <t>combat ration package</t>
  </si>
  <si>
    <t>https://www.defmin.fi/en/topical/press_releases_and_news/finland_delivers_more_defence_materiel_to_ukraine.12553.news#c7898b3c</t>
  </si>
  <si>
    <t>https://valtioneuvosto.fi/en/-/finland-delivers-more-defence-materiel-to-ukraine#:~:text=On%2023%20March%202022%2C%20the%20President%20of%20the,of%20delivery%20or%20schedule%20will%20not%20be%20provided.</t>
  </si>
  <si>
    <t>https://www.defmin.fi/en/topical/press_releases_and_news/finland_to_provide_more_defence_materiel_assistance_to_ukraine.12657.news#21b935ba</t>
  </si>
  <si>
    <t>https://valtioneuvosto.fi/en/-/finland-sends-additional-material-assistance-to-ukraine-duplicate-3?languageId=sv_SE</t>
  </si>
  <si>
    <t>FIM2</t>
  </si>
  <si>
    <t>On May 5, Finland announced to send additional military material to Ukraine. This was stated during the High-Level International Donor's Conference for Ukraine on May 5 ("Source of Aid 1": 1:07:00 minute) as well as by a press release on the same day (see "Source of Aid 2"). Finland did not disclose any further information. "Source of Aid 3" also mentions a military aid package from the UK (see UKM8). Note that we do not include the announced additional 70 million EUR in humanitarian aid as it is subject to parliaments approval.</t>
  </si>
  <si>
    <t>https://www.defmin.fi/en/topical/press_releases_and_news/finland_sends_more_defence_materiel_assistance_to_ukraine.12692.news#40d3246d</t>
  </si>
  <si>
    <t>https://www.army-technology.com/news/finland-sends-additional-defence-aid-ukraine/</t>
  </si>
  <si>
    <t>FIM3</t>
  </si>
  <si>
    <t>The government stated that it has made the decision to send further defence materiel to Ukraine. However, the government explicitly mentions that it will not provide further information on the shipment.</t>
  </si>
  <si>
    <t>https://www.defmin.fi/en/topical/press_releases_and_news/finland_sends_more_defence_materiel_assistance_to_ukraine.12834.news#40d3246d</t>
  </si>
  <si>
    <t>FIF1</t>
  </si>
  <si>
    <t>As announced by the Finnish finance minister ("Source of Aid 1"), Finland committed to donating the earnings from the sale of seized bitcoins (around 1,981 Bitcoin). "Source of Aid 2" quantifies this to an amount of 75 million EUR.</t>
  </si>
  <si>
    <t>https://twitter.com/AnnikaSaarikko/status/1519361293823746049?s=20&amp;t=bCGlZWqdKQAC7geTzWxcRw</t>
  </si>
  <si>
    <t>https://www.euronews.com/next/2022/04/28/finland-to-sell-confiscated-bitcoin-worth-75-million-to-support-ukraine-s-war-effort</t>
  </si>
  <si>
    <t>https://www.businesstoday.in/crypto/story/finland-set-to-donate-over-eu70-million-worth-of-crypto-to-war-torn-ukraine-331795-2022-04-29#:~:text=Finland%27s%20government%20has%20promised%20to,to%20the%20war%2Dtorn%20country.&amp;text=Cryptocurrencies%20have%20come%20to%20aid,for%20over%202%20months%20now.</t>
  </si>
  <si>
    <t>FRH1</t>
  </si>
  <si>
    <t>France</t>
  </si>
  <si>
    <t>France has provided almost 100 million EUR in humanitarian assistance to Ukraine. The assistance also includes the shipment of emergency aid. The first tranche of material aid was sent on the February 28 and consisted of four trucks carrying an initial shipment of 33 tons of emergency aid with items such as blankets, tents and medical supplies (500 family tents, 2,300 blankets, 1,000 hygiene kits, 2,000 floor mats and 300 sleeping bags). A second shipment was sent on March 1, consisting of eight tons of medical supplies, including a mobile clinic with medicines and hospital equipment capable of treating up to 500 war-wounded. The assistance falls within the framework of the EU Civil Protection Mechanism (EUCPM).</t>
  </si>
  <si>
    <t>familiy tent</t>
  </si>
  <si>
    <t>https://www.diplomatie.gouv.fr/en/country-files/ukraine/news/article/ukraine-france-mobilizes-to-deliver-emergency-medical-aid-to-victims-of-the</t>
  </si>
  <si>
    <t>https://www.lefigaro.fr/flash-actu/la-france-a-envoye-33-tonnes-d-aide-humanitaire-pour-l-ukraine-20220228</t>
  </si>
  <si>
    <t>https://www.reuters.com/world/europe/france-offer-100-mln-euros-humanitarian-aid-ukraine-2022-03-01/</t>
  </si>
  <si>
    <t>blanket</t>
  </si>
  <si>
    <t>floor mat</t>
  </si>
  <si>
    <t>FRH2</t>
  </si>
  <si>
    <t>A total amount of 1.6 million EUR has been donated by French local governments. The funding process has been coordinated by the Local Government External Action Fund (FAECO). "Source of Aid 1" also lists earlier shipments of humanitarian assistance reported in FRH1.</t>
  </si>
  <si>
    <t>https://www.diplomatie.gouv.fr/en/country-files/ukraine/news/article/ukraine-france-steps-up-humanitarian-relief-efforts-for-ukraine-10-mar-2022</t>
  </si>
  <si>
    <t>FRH3</t>
  </si>
  <si>
    <t xml:space="preserve">Ambulances, medical supplies and fire engines. The assistance falls within the framework of the EU Civil Protection Mechanism (EUCPM). 
</t>
  </si>
  <si>
    <t>https://ec.europa.eu/echo/news-stories/news/ukraine-eu-delivers-additional-assistance-rescue-vehicles-and-emergency-equipment-2022-03-25_de</t>
  </si>
  <si>
    <t>https://www.arout.net/france-sends-dozens-of-fire-engines-and-ambulances-to-ukraine-to-support-the-war-against-russia/</t>
  </si>
  <si>
    <t>rescue vehicle</t>
  </si>
  <si>
    <t>Lorry</t>
  </si>
  <si>
    <t>ton of health and emergency equipment</t>
  </si>
  <si>
    <t>FRH4</t>
  </si>
  <si>
    <t>At the Ukranian government's request, the Ministry for Europe and Foreign Affairs Crisis and Support Center delivered 28 tons of medical equipment. The shipment is directed to Ukraine and is coordinated by the EU Civil Protection Mechanism. The 28 tons include oxygen generators allowing to treat up to 500 patients, 50 sets of respiratory equipment and 4.5 tons of medicines.</t>
  </si>
  <si>
    <t>https://www.diplomatie.gouv.fr/en/country-files/ukraine/news/article/ukraine-special-delivery-of-emergency-medical-aid-by-france-joint-communique</t>
  </si>
  <si>
    <t>https://www.techopital.com/la-france-envoie-28-tonnes-de-materiel-medical-en-ukraine-NS_6281.html</t>
  </si>
  <si>
    <t>https://www.lefigaro.fr/international/direct-guerre-en-ukraine-situation-critique-a-marioupol-20220421</t>
  </si>
  <si>
    <t>FRH5</t>
  </si>
  <si>
    <t>Evacuation and provision of medical care for seven Ukrainian war wounded.</t>
  </si>
  <si>
    <t>https://www.diplomatie.gouv.fr/en/country-files/ukraine/news/article/ukraine-france-mobilised-to-support-ukraine-through-medical-care-for-war</t>
  </si>
  <si>
    <t>FRH6</t>
  </si>
  <si>
    <t>In-kind donation of 12 ambulances.</t>
  </si>
  <si>
    <t>https://twitter.com/MinColonna/status/1531344296191868928</t>
  </si>
  <si>
    <t>FRH7</t>
  </si>
  <si>
    <t>Donation of 31 tons of field crop seeds. The shipment includes several different types of seeds: beet, carrot, cabbage, cauliflower, chives, cucumber, zucchini and tomato, among others – enough to plant 23,475 acres of farmland and vegetable gardens and harvest up to 260,000 tons of food. We do not consider the private donation of 600 Tons of potato plants by the French Federation of Seed Potato Growers (mentioned in "Source of Aid 1"). The aid is not quantifiable in monetary terms.</t>
  </si>
  <si>
    <t>https://www.diplomatie.gouv.fr/en/country-files/ukraine/news/article/ukraine-exceptional-assistance-from-france-to-bolster-food-security-for-the</t>
  </si>
  <si>
    <t>FRH8</t>
  </si>
  <si>
    <t>Evacuation and provision of medical care for six Ukrainian war wounded. The aid is not quantifiable in monetary terms.</t>
  </si>
  <si>
    <t>FRH9</t>
  </si>
  <si>
    <t>This delivery includes a mobile health post with medical equipment and medicines, enabling the treatment of 250 patients, as well as medical devices used for anaesthesia and resuscitation, amongst others. The aid is not quantifiable in monetary terms.</t>
  </si>
  <si>
    <t>https://www.diplomatie.gouv.fr/en/country-files/ukraine/news/article/ukraine-exceptional-delivery-of-emergency-medical-assistance-by-france-28-jun</t>
  </si>
  <si>
    <t>FRF1</t>
  </si>
  <si>
    <t>Loan with favourable terms, in addition to the guarantee mentioned in FRF2.</t>
  </si>
  <si>
    <t>https://ua.interfax.com.ua/news/economic/796996.html</t>
  </si>
  <si>
    <t>FRF2</t>
  </si>
  <si>
    <t>Guarantee</t>
  </si>
  <si>
    <t>Financial guarantees, under which Ukraine will be able to receive loans from French banks on favourable terms. The funds can also be directed to joint Ukrainian-French projects and are in addition to the 200 million EUR loan reported in FRF1.</t>
  </si>
  <si>
    <t>FRF3</t>
  </si>
  <si>
    <t>Loan announced on February 25 and granted on March 28. According to press releases, the loan has a 15-year maturity (see “Source of Aid 3"). The mentioned equipment in "Source of Aid 2" refers to FRM1.</t>
  </si>
  <si>
    <t>https://www.diplomatie.gouv.fr/en/country-files/ukraine/news/article/ukraine-conversation-between-jean-yves-le-drian-and-his-ukrainian-counterpart</t>
  </si>
  <si>
    <t>https://www.aa.com.tr/en/europe/france-to-offer-300m-worth-of-aid-military-equipment-to-ukraine/2515343</t>
  </si>
  <si>
    <t>https://www.reuters.com/article/ukraine-crisis-france-loan-idUSL5N2VX4PT</t>
  </si>
  <si>
    <t>FRF4</t>
  </si>
  <si>
    <t>Increase in overall financial aid to Ukraine, from 1.7 billion EUR to 2 billion EUR. By taking the total value of FRH1, FRM1, FRF1, FRF2 and FRF3 we reach the 1.7 bill EUR President Macron mentioned during the Stand Up for Ukraine event on May 5 (see "Source of Aid 2").</t>
  </si>
  <si>
    <t>https://www.reuters.com/world/europe/france-will-increase-financial-aid-ukraine-by-300-mln-macron-tells-donor-2022-05-05/</t>
  </si>
  <si>
    <t>https://www.townsvillebulletin.com.au/news/national/france-to-increase-ukraine-financial-aid-by-300-mln/video/2374a117e7e4337e8832c3be6c744260</t>
  </si>
  <si>
    <t>FRM1</t>
  </si>
  <si>
    <t>until 4/13/2022</t>
  </si>
  <si>
    <t>According to a tweet of the French Minister of Defence on April 13, France has sent a total amount of 100 million EUR in military assistance to Ukraine since the beginning of the conflict. Later on, ahead of the second round of presidential elections in France, President Macron disclosed the content of the shipment: a few dozen MILAN and up to ten CAESARS artillery howitzers (see "Source of Aid 3").</t>
  </si>
  <si>
    <t>Milan</t>
  </si>
  <si>
    <t>https://twitter.com/florence_parly/status/1514275166158790666</t>
  </si>
  <si>
    <t>https://www.lesechos.fr/monde/enjeux-internationaux/la-france-renforce-son-soutien-militaire-a-lukraine-1389929</t>
  </si>
  <si>
    <t>https://www.aa.com.tr/en/europe/france-to-deliver-caesar-artillery-guns-shells-to-ukraine/2570644</t>
  </si>
  <si>
    <t>https://www.lemonde.fr/en/international/article/2022/04/24/france-is-delivering-caesar-cannons-and-milan-anti-tank-missiles-to-kiev_5981417_4.html</t>
  </si>
  <si>
    <t>FRM2</t>
  </si>
  <si>
    <t>The Prime Minister of France announced the shipment of military material, additional to the already sent weapons (see FRM1).</t>
  </si>
  <si>
    <t>CAESAR artillery howitzer</t>
  </si>
  <si>
    <t>https://meta-defense.fr/en/2022/04/22/france-will-deliver-caesar-mobile-artillery-systems-to-ukraine/</t>
  </si>
  <si>
    <t>https://www.strategypage.com/htmw/htart/articles/20220502.aspx</t>
  </si>
  <si>
    <t>FRM3</t>
  </si>
  <si>
    <t>President Macron promised that France will keep providing military aid to Ukraine. No further information regarding the new shipments was disclosed.</t>
  </si>
  <si>
    <t>https://www.reuters.com/world/europe/france-strengthen-military-humanitarian-aid-ukraine-elysee-2022-04-30/</t>
  </si>
  <si>
    <t>FRM4</t>
  </si>
  <si>
    <t>The French Ministry of Defence declared that France will boost military aid to Ukraine. No further information regarding the new shipments was disclosed.</t>
  </si>
  <si>
    <t>https://www.thedefensepost.com/2022/05/31/france-boost-arms-supplies-ukraine/</t>
  </si>
  <si>
    <t>FRM5</t>
  </si>
  <si>
    <t>30.06.2022</t>
  </si>
  <si>
    <t>Pledge of six additional CAESAR howitzers and an undisclosed number of armoured vehicles to Ukraine.</t>
  </si>
  <si>
    <t>https://twitter.com/EmmanuelMacron/status/1542480626560942080</t>
  </si>
  <si>
    <t>armored vehicle</t>
  </si>
  <si>
    <t>DEH1</t>
  </si>
  <si>
    <t>Germany</t>
  </si>
  <si>
    <t>until 5/6/2022</t>
  </si>
  <si>
    <t>According to the official website of the German Ministry for Economic Development and Cooperation, Germany's humanitarian aid to Ukraine amounts to 185 million EUR. Here, we also include previous humanitarian aid coordinated by the Ministry for Development and Cooperation and the 38.5 million EUR approved on March 7 (see "Source of aid 2").</t>
  </si>
  <si>
    <t>https://www.bmz.de/de/laender/ukraine</t>
  </si>
  <si>
    <t>https://www.deutschland.de/en/news/ticker-solidarity-with-ukraine</t>
  </si>
  <si>
    <t>DEH2</t>
  </si>
  <si>
    <t>During the "Stand Up for Ukraine" donor's conference on April 9, Chancellor Olaf Scholz announced that the German government will send 425 million EUR in humanitarian aid to Ukraine and neighbouring countries. According to an E-Mail received by the Ministry of Economic Development and Cooperation, 55 million EUR out of the annouced 425 million EUR are part of 185 million EUR pledged by the German Ministry of Economic Development and Cooperation (see DEH1) and therefore are not included in this entry (425-55=370).</t>
  </si>
  <si>
    <t>https://www.youtube.com/watch?v=xsRCOOin-0U</t>
  </si>
  <si>
    <t>DEH3</t>
  </si>
  <si>
    <t>During the "Stand Up for the Ukraine" donor's conference chancellor Olaf Scholz announced that the German government will send 70 million EUR in humanitarian aid to Ukraine. We do report the 425 million EUR announced by Scholz on the same day (see "Source of Aid 1", DEH2), and we report the 185 million EUR effectively reported by the Germany Ministry of Economic Development and Cooperation (see DEH1).</t>
  </si>
  <si>
    <t>DEH4</t>
  </si>
  <si>
    <t xml:space="preserve">Not specified. Announced by Olaf Scholz during the "Stand Up for Ukraine" event on May 5. This is in addition to the two loans reported in DEF1, and the intended 140 million EUR in development aid (which we do not include since it refers to an intention and not a commitment). </t>
  </si>
  <si>
    <t>https://interfax.com.ua/news/general/829945.html</t>
  </si>
  <si>
    <t>DEM1</t>
  </si>
  <si>
    <t xml:space="preserve">Germany published a list of delivered and committed items to Ukraine (constantly updated) , which we report in DEM1 and DEM2. The entries reported in DEM2 are financed with the 1,2 billion EUR in in-kind military support pledged by Scholz, the German Chancellor, on April 15. Since no monetary value was officially declared, we computed the total monetary value of the items using retail market prices. </t>
  </si>
  <si>
    <t>https://www.n-tv.de/politik/Deutsche-Waffenlieferungen-an-die-Ukraine-Nicht-alle-Exporte-werden-erfasst-article23304309.html</t>
  </si>
  <si>
    <t>https://plus.tagesspiegel.de/politik/raketen-schusswaffen-helme-welche-lander-schicken-der-ukraine-militarische-ausrustung-437908.html</t>
  </si>
  <si>
    <t>https://www.spiegel.de/politik/deutschland/ukraine-krieg-deutschland-lieferte-waffen-fuer-37-millionen-euro-a-460a7b35-70aa-40bb-8ec7-80f5606f0d5a</t>
  </si>
  <si>
    <t>https://www.bundesregierung.de/breg-de/themen/krieg-in-der-ukraine/lieferungen-ukraine-2054514</t>
  </si>
  <si>
    <t>Strela missile</t>
  </si>
  <si>
    <t>Panzerfaust 3</t>
  </si>
  <si>
    <t>round of ammunition for Panzerfaust 3</t>
  </si>
  <si>
    <t>MG3</t>
  </si>
  <si>
    <t>round of ammunition for MG3</t>
  </si>
  <si>
    <t>rifle + MG Round</t>
  </si>
  <si>
    <t>round of ammunition for gun</t>
  </si>
  <si>
    <t>artillery ammunition</t>
  </si>
  <si>
    <t>Bunkerfaust</t>
  </si>
  <si>
    <t>explosive charge</t>
  </si>
  <si>
    <t>vehicle</t>
  </si>
  <si>
    <t>detonating cord</t>
  </si>
  <si>
    <t>lighter</t>
  </si>
  <si>
    <t>palett clothig</t>
  </si>
  <si>
    <t>military tent</t>
  </si>
  <si>
    <t>palett material</t>
  </si>
  <si>
    <t>binoculars, optics</t>
  </si>
  <si>
    <t>hospital bed</t>
  </si>
  <si>
    <t>palett material for hospitals</t>
  </si>
  <si>
    <t>OP-light</t>
  </si>
  <si>
    <t>shooting glasses</t>
  </si>
  <si>
    <t>radio-frequency system</t>
  </si>
  <si>
    <t>field telephone</t>
  </si>
  <si>
    <t>field cable for field telephone</t>
  </si>
  <si>
    <t xml:space="preserve">field hospital </t>
  </si>
  <si>
    <t>field glass</t>
  </si>
  <si>
    <t>hospital material</t>
  </si>
  <si>
    <t>diesel and fuel</t>
  </si>
  <si>
    <t>AdBlue (in tons)</t>
  </si>
  <si>
    <t xml:space="preserve">MiG-29 spare part </t>
  </si>
  <si>
    <t>electric anti-drone weapon</t>
  </si>
  <si>
    <t>ammunition for tanks</t>
  </si>
  <si>
    <t>Mars II</t>
  </si>
  <si>
    <t>fridge for hospital material</t>
  </si>
  <si>
    <t>M113's refitting (collab with Danemark)</t>
  </si>
  <si>
    <t>DEM2</t>
  </si>
  <si>
    <t>BUDGET DRAWDOWN: Following "Source of Aid 1", on April 15 the German Chancellor  announced the provision of 2 billion EUR in additional military aid for Ukraine and neighbouring countries. Out of the total sum, we do not consider the 400 million EUR devoted to other countries and the 400 million EUR share to the European Peace Facility (EPF), which is a contribution offered by almost every EU member. Thus, we only report 1.2 billion EUR. Under the entry DEM2, we report all weapons that will be sent starting from April 15 and will be financed with the 1,2 billion EUR pledged by Scholz.</t>
  </si>
  <si>
    <t>Gepard rapid-fire armored vehicle</t>
  </si>
  <si>
    <t>https://www.tagesschau.de/inland/scholz-ukraine-militaerhilfe-101.html</t>
  </si>
  <si>
    <t>Panzerhaubitze 2000</t>
  </si>
  <si>
    <t>https://www.tagesspiegel.de/politik/lieferung-schwerer-waffen-ukraine-erhaelt-im-juli-erste-gepard-panzer-aus-deutschland/28363300.html</t>
  </si>
  <si>
    <t>https://nextcloud.auf.bundeswehr.de/s/AqqWmDg3m5kxg5o</t>
  </si>
  <si>
    <t>https://www.tagesspiegel.de/politik/erste-schwere-waffen-aus-deutschland-sieben-panzerhaubitzen-2000-in-der-ukraine-angekommen/28443496.html</t>
  </si>
  <si>
    <t>Iris-T SLM</t>
  </si>
  <si>
    <t>https://www.zeit.de/politik/deutschland/2022-06/olaf-scholz-sagt-ukraine-flugabwehrsystem-zu</t>
  </si>
  <si>
    <t>artillery radar</t>
  </si>
  <si>
    <t>Waffenlieferungen: Olaf Scholz sagt Ukraine Flugabwehrsystem zu | ZEIT ONLINE</t>
  </si>
  <si>
    <t>until 7/1/2022</t>
  </si>
  <si>
    <t>MG3 ammunition</t>
  </si>
  <si>
    <t>radar and thermal imagery system</t>
  </si>
  <si>
    <t>recognition drone</t>
  </si>
  <si>
    <t>jamming transmitter</t>
  </si>
  <si>
    <t>demining set</t>
  </si>
  <si>
    <t>vehicle decontamination point</t>
  </si>
  <si>
    <t>auto-injectors</t>
  </si>
  <si>
    <t>anti-drone sensors</t>
  </si>
  <si>
    <t>anti-drone cannon</t>
  </si>
  <si>
    <t>Pick-up</t>
  </si>
  <si>
    <t>First-aid kit</t>
  </si>
  <si>
    <t>DEF1</t>
  </si>
  <si>
    <t>Additional loan to the already existing 150 million reported in DEF1. The financial assistance is in addition to the humanitarian assistance worth 125 million EUR reported in DEH3 and the intended 140 million EUR in development aid (which we do not include since it refers an intention and not a commitment).</t>
  </si>
  <si>
    <t>DEF2</t>
  </si>
  <si>
    <t xml:space="preserve">Contribution of 1 billion EUR in grants, announced by the German Minister of Defence during the G7 conference on May 19, 2022. We do not report the 150 million EUR loan reported in "Source of Aid 2", since it is the last tranche of a credit line authorized in 2015 (more info on the credit in "Source of Aid 3"). </t>
  </si>
  <si>
    <t>https://www.bloomberg.com/news/articles/2022-05-19/germany-to-contribute-1-billion-euros-of-grants-to-ukraine</t>
  </si>
  <si>
    <t>https://www.sueddeutsche.de/politik/g7-deutschland-gibt-ukraine-rund-eine-milliarde-euro-dpa.urn-newsml-dpa-com-20090101-220519-99-355600</t>
  </si>
  <si>
    <t>https://www.kfw.de/About-KfW/Newsroom/Latest-News/Pressemitteilungen-Details_702848.html</t>
  </si>
  <si>
    <t>ELH1</t>
  </si>
  <si>
    <t>Greece</t>
  </si>
  <si>
    <t>Medical supplies. No further information on the shipment has been disclosed.</t>
  </si>
  <si>
    <t>https://www.mod.mil.gr/en/deputy-defence-minister-nikolaos-chardalias-accompanies-a-humanitarian-aid-cargo/#:~:text=humanitarian%20aid%20with-,medical%2C%20pharmaceutical%20and%20first%20aid%20material,-.%20The%20humanitarian%20aid</t>
  </si>
  <si>
    <t> https://greekcitytimes.com/2022/02/28/greece-send-military-medical-ukraine/</t>
  </si>
  <si>
    <t>ELH2</t>
  </si>
  <si>
    <t>The Prime Minister announced that Greece would be ready to rebuild the maternity hospital in Mariupol.</t>
  </si>
  <si>
    <t>Prime Minister GR auf Twitter: „Greece is ready to rebuild the maternity hospital in Mariupol, the center of the Greek minority in Ukraine, a city dear to our hearts and symbol of the barbarity of the war.“ / Twitter</t>
  </si>
  <si>
    <t>https://www.keeptalkinggreece.com/2022/03/18/greece-rebuild-maternity-hospital-mariupol/</t>
  </si>
  <si>
    <t>ELH3</t>
  </si>
  <si>
    <t>A humanitarian aid package. No further information on the shipment has been disclosed. Note that even though the official source ("Source of Aid 1") is from April 6, the actual date where it became publicly known is April 3 ("Source of Aid 2").</t>
  </si>
  <si>
    <t>https://hellenicaid.mfa.gr/en/epikairotita/anakoinoseis/episkepse-upourgou-exoterikon-nikou.html#:~:text=On%203%20April%202022%2C%20Greek%20Minister%20of%20Foreign,relief%20to%20the%20city%E2%80%99s%20population%2C%20including%20Greek%20diaspora.</t>
  </si>
  <si>
    <t>https://cyprus-digest.com/nikos-dendias-arrives-in-odessa-as-head-of-a-humanitarian-mission/</t>
  </si>
  <si>
    <t>ELH4</t>
  </si>
  <si>
    <t>The package includes food, hygienic and pharmaceutical products of unknown amounts. "Source of Aid 1" refers directly to ELH2 (another package from the government as of April 3). Note that the source also mentions additional packages from the Hellenic Red Cross. We do not consider these shipments from the Hellenic Red Cross since they consist of private donations.</t>
  </si>
  <si>
    <t>https://www.mfa.gr/en/current-affairs/statements-speeches/delivery-of-greek-humanitarian-aid-to-the-ukrainian-people-including-diaspora-greeks-in-odessa-11042022-and-departure-of-the-4th-humanitarian-mission-of-the-hellenic-red-cross-to-ukraine-odessa-12042022.html</t>
  </si>
  <si>
    <t>ELM1</t>
  </si>
  <si>
    <t>until 3/15/2022</t>
  </si>
  <si>
    <t>Lethal weapons, in particular assault rifles and anti-tank missiles. "Source of Aid 1" also reports Greece's contribution to NATO, which is not included in our dataset because it is not a direct contribution to Ukraine.</t>
  </si>
  <si>
    <t>AK-47-type assault rifle</t>
  </si>
  <si>
    <t>https://www.ekathimerini.com/news/1179620/greek-role-within-nato-is-upgraded/</t>
  </si>
  <si>
    <t>https://twitter.com/visegrad24/status/1504145180647170060?cxt=HHwWmIC58dGE5t8pAAAA</t>
  </si>
  <si>
    <t>https://tass.com/world/1439267?utm_source=google.com&amp;utm_medium=organic&amp;utm_campaign=google.com&amp;utm_referrer=google.com</t>
  </si>
  <si>
    <t>Soviet-made RPG-18 anti-tank missile launcher</t>
  </si>
  <si>
    <t>https://www.oryxspioenkop.com/2022/05/guns-n-greece-hellenic-support-to.html</t>
  </si>
  <si>
    <t>missile for Czech-made RM-70 multiple rocket launcher</t>
  </si>
  <si>
    <t>https://www.thenationalherald.com/russias-ukraine-invasion-sees-greece-taking-bigger-nato-role/#:~:text=Greece%20sent%20Ukraine%20military%20equipment%20compatible%20with%20that,rocket%20launchers%2C%20aligning%20itself%20with%20NATO%E2%80%99s%20indirect%20assistance.?msclkid=6dac7726ab8911ec980d9386f90d3180</t>
  </si>
  <si>
    <t>ELM2</t>
  </si>
  <si>
    <t xml:space="preserve">U.S. minister Austin announced during a meeting of the Ukraine Contact Group (a meeting discussing the delivery of weapons and equipment to Ukraine) that Greece would provide more weapons to Ukraine, without giving more information ("Source of Aid 1"). In the next couple of days, media reports ("Sources of Aid 2 &amp; 3") specified the total package of new weapons and Source of Aid 2 clarifies on top of that, that these packages have already been sent to Ukraine. "Source of Aid 4" reports the German Chancellor's annoucement of a weapons swap between Greece and Germany, which would allow Greece to send 122 units of BMP-1. Although we have no confirmation from the greek side, we include it in the dataset. </t>
  </si>
  <si>
    <t>BMP-1</t>
  </si>
  <si>
    <t>https://www.euractiv.com/section/politics/short_news/greece-sends-more-weapons-to-ukraine-angering-the-opposition/</t>
  </si>
  <si>
    <t>https://www.armyrecognition.com/defense_news_june_2022_global_security_army_industry/greece_to_donate_bmp-1p_tracked_armored_ifvs_to_ukraine_in_exchange_for_german_marder_1a3/1a5_ifvs.html</t>
  </si>
  <si>
    <t>https://twitter.com/visegrad24/status/1533567105110507521</t>
  </si>
  <si>
    <t>https://www.spiegel.de/politik/deutschland/scholz-kuendigt-panzer-ringtausch-mit-griechenland-an-a-9dd166da-edd2-426f-9873-9d48065f3e3a</t>
  </si>
  <si>
    <t>73mm missile</t>
  </si>
  <si>
    <t>7.62mm cartridge</t>
  </si>
  <si>
    <t>Stinger missile</t>
  </si>
  <si>
    <t>HUH1</t>
  </si>
  <si>
    <t>Hungary</t>
  </si>
  <si>
    <t>First necessity equipment, gasoline, and diesel. The 1 million EUR directed to the Ecumenical Humanitarian Organization and reported by "Source of Aid 1" is not included in the dataset because it is not a sovereign to sovereign flow. Aid to refugees is not considered either since it is not directed to Ukraine.</t>
  </si>
  <si>
    <t>liter of diesel H</t>
  </si>
  <si>
    <t>https://telex.hu/kulfold/2022/02/27/magyarorszag-100-ezer-liter-uzemanyagot-adomanyozott-karpataljanak</t>
  </si>
  <si>
    <t>https://www.karpatinfo.net/2022/2/27/szijjarto-magyarorszag-szerepet-vallal-humanitarius-katasztrofa-enyhiteseben-200055995</t>
  </si>
  <si>
    <t>liter of fuel H</t>
  </si>
  <si>
    <t>HUH2</t>
  </si>
  <si>
    <t>until 3/21/2022</t>
  </si>
  <si>
    <t>Medical supplies listed in the middle of "Source of Aid 1" (and in "Source of Aid 2"). "Source of Aid 1" and "Source of Aid 2" list also the aid package reported in HUH3.</t>
  </si>
  <si>
    <t>ventilator</t>
  </si>
  <si>
    <t>https://abouthungary.hu/news-in-brief/hungary-to-make-another-shipment-of-humanitarian-aid-to-ukraine?msclkid=ca53d542ab8b11ec95fbf81dabb45ae9</t>
  </si>
  <si>
    <t>https://dailynewshungary.com/hungary-to-send-shipment-of-medical-equipment-to-ukraine/</t>
  </si>
  <si>
    <t>patient monitor</t>
  </si>
  <si>
    <t>central monitor</t>
  </si>
  <si>
    <t>infusion pump and blood bag</t>
  </si>
  <si>
    <t>HUH3</t>
  </si>
  <si>
    <t>The aid consists of clamps, scissors, instrument trays, infusion sets, bandages, surgical gloves and medicines. "Source of Aid 1" and "Source of Aid 2" list also the aid package reported in HUH2.</t>
  </si>
  <si>
    <t>https://bbj.hu/politics/foreign-affairs/ukraine-crisis/ukraine-crisis-hungary-to-send-additional-medical-supplies-to-ukraine</t>
  </si>
  <si>
    <t>Humanitarian assistance to the municipality of Berehove (Beregszász), comprising 66 million HUF to help in maintaining the water supply.</t>
  </si>
  <si>
    <t>HUF</t>
  </si>
  <si>
    <t>https://abouthungary.hu/news-in-brief/government-donates-huf-66-million-to-help-berehove-water-supply</t>
  </si>
  <si>
    <t>HUH4</t>
  </si>
  <si>
    <t>until 4/20/2022</t>
  </si>
  <si>
    <t xml:space="preserve">Hungary has so far sent 1,300 tons of humanitarian aid (a major part is mentioned in "HUH2"). But here, the source mentions for the first time a specific amount. We apply as an estimate our price for "ton of necessity items", since the package includes food, medicine, medical equipment and clothes. We then substract the previously calculated sum of HUH1 (since we could quantify this package) so that the remaining sum captures all of the so far unreported humanitarian packages. Moreover, "Source of Aid 1" mentions the package of 100,000 liter fuel ("HUH3") delivered since the war began. </t>
  </si>
  <si>
    <t>ton of necessity items</t>
  </si>
  <si>
    <t>https://dailynewshungary.com/hungary-can-be-of-far-greater-help-if-it-remains-an-island-of-peace-together-with-transcarpathia-says-official/</t>
  </si>
  <si>
    <t>HUH5</t>
  </si>
  <si>
    <t>Five trucks arrived in Ukraine, with 60 tons of durable food and toiletries worth 52 million HUF. Moreover, the Department of Human Resources offered a truckload of medicines worth 210 million HUF. In total, the aid therefore amounts to 262 million HUF.</t>
  </si>
  <si>
    <t>https://life.karpat.in.ua/?p=101279&amp;lang=hu</t>
  </si>
  <si>
    <t>HUH6</t>
  </si>
  <si>
    <t>Construction of a hospital and a school in Kyiv or any other Ukrainian city, and delivery of mobile houses to host internally displaced people in Ukraine, scholarhsips for Ukrainian students, treatment of wounded Ukrainians in Hungarian hospitals. All the aid amount to 37 million EUR and since we cannot disentangle the direct aid to Ukraine from the one offered to refugees (e.g the scholarships), we include here the entire sum. The assistance was announced at the International Donors' Conference on May 5, 2022 (see 1:36:50 in "Source of Aid 1").</t>
  </si>
  <si>
    <t>hospital</t>
  </si>
  <si>
    <t>school</t>
  </si>
  <si>
    <t>mobile house</t>
  </si>
  <si>
    <t>INH1</t>
  </si>
  <si>
    <t>India</t>
  </si>
  <si>
    <t>until 5/7/2022</t>
  </si>
  <si>
    <t xml:space="preserve">Until May 7, 2022, India has provided 187 tons of medical and relief items to hospitals in Ukraine. Source of Aid 3 reports 230 tons of medical equipment. However, this includes private donations which we do not consider. Equally, the 7 tons of humanitarian aid mentioned in Source of Aid 4 are part of the 187 tons and will therefore not be reported seperately. </t>
  </si>
  <si>
    <t>https://moz.gov.ua/article/news/ukraina-otrimala-gumanitarnij-vantazh-vid-posolstva-indii</t>
  </si>
  <si>
    <t>https://www.ukrinform.net/rubric-society/3477447-india-donates-total-of-187-tonnes-of-humanitarian-aid-to-ukrainian-hospitals.html</t>
  </si>
  <si>
    <t>https://www.thehindu.com/news/national/ukraine-expects-india-to-participate-actively-in-post-war-construction/article65491977.ece</t>
  </si>
  <si>
    <t> https://www.hindustantimes.com/india-news/india-provides-7-725-kg-of-humanitarian-aid-to-ukraine-101651854620406.html</t>
  </si>
  <si>
    <t>IEH1</t>
  </si>
  <si>
    <t>Ireland</t>
  </si>
  <si>
    <t>The government announced the dispatchment of humanitarian assistance worth 10 million EUR without providing further information regarding the shipment.</t>
  </si>
  <si>
    <t>https://www.irishtimes.com/news/ireland/irish-news/irish-government-provides-10-million-in-humanitarian-support-for-ukraine-1.4810982#:~:text=The%20Irish%20government%20is%20to%20provide%20%E2%82%AC10%20million,to%20coordinate%20a%20response%20to%20the%20Russian%20invasion.</t>
  </si>
  <si>
    <t>IEH2</t>
  </si>
  <si>
    <t>4,000 blood bags. The aid package falls within the framework of the EU Civil Protection Mechanism (EUCPM). "Source of Aid 1" and "Source of Aid 2" list also the aid package reported in IEH3.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</si>
  <si>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blood bag</t>
  </si>
  <si>
    <t>https://www.gov.ie/en/press-release/b80b7-government-ministers-announce-irish-support-for-ukrainian-health-service/?msclkid=07ab0901b05a11ec8239ca04bfcdbb9d</t>
  </si>
  <si>
    <t>https://www.irishtimes.com/news/health/thousands-of-blood-bags-and-protective-suits-among-irish-aid-sent-to-ukraine-1.4824403</t>
  </si>
  <si>
    <t>IEH3</t>
  </si>
  <si>
    <t>Medical supplies. The assistance falls within the framework of the EU Civil Protection Mechanism (EUCPM). "Source of Aid 1" and "Source of Aid 2" list also the aid package reported in IEH2.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</si>
  <si>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bio protection suit</t>
  </si>
  <si>
    <t>IEH4</t>
  </si>
  <si>
    <t>until 3/26/2022</t>
  </si>
  <si>
    <t xml:space="preserve">"Source of Aid 1" mentions that beside medical consumables and personal protective equipment (listed in IEH5, IEH6), the government has sent 9 ambulances. </t>
  </si>
  <si>
    <t>https://www.gov.ie/en/press-release/2e59c-update-on-medical-humanitarian-support-to-ukraine/</t>
  </si>
  <si>
    <t>IEH5</t>
  </si>
  <si>
    <t>In total, four shipments were sent to Ukraine from March 26, to April 1. "Source of Aid 1" mentions that the these shipments include over 3,600 items comprising critical care devices including life support, diagnostic, therapeutic and infant care together with a range of consumable devices. However, due to the unknown amount, we cannot further quantify this aid package.</t>
  </si>
  <si>
    <t>IEH6</t>
  </si>
  <si>
    <t>In addition to the shipments mentioned in IEH4, another delivery of 18 pallets of pharmaceutical items was sent to Ukraine.</t>
  </si>
  <si>
    <t>IEH7</t>
  </si>
  <si>
    <t>Ireland committed during the "Stand Up for Ukraine Event" to direct its REACT-EU funds, worth 53 million EUR, to Ukraine for humanitarian purposes.</t>
  </si>
  <si>
    <t>IEH8</t>
  </si>
  <si>
    <t>Grant provided by the Ministry of Foreign Affairs to an Irish charity in order to open a center providing psychological support and sexual health care in Ukraine.</t>
  </si>
  <si>
    <t>https://www.irishmirror.ie/news/irish-news/politics/goal-opens-new-support-offices-27021322</t>
  </si>
  <si>
    <t>IEH9</t>
  </si>
  <si>
    <t>6/28/2022</t>
  </si>
  <si>
    <t xml:space="preserve">Ireland has sent 10 additional ambulances, thus bringing the total value of medical assistance to EUR 4.3 million. Since part of this assistance has already been quantified and defined in IEH2, IEH3, IEH4, IEH5 and IEH6, we substract the quantified amounts from the total EUR 4.3 million mentioned in the source. Thus, the monetary value equals to EUR 2.197 million. Moreover, Ireland has contributed EUR 20 million through UN agencies and the Red Cross in our dataset. </t>
  </si>
  <si>
    <t>https://www.gov.ie/en/press-release/e6e61-ireland-donates-ambulances-and-other-life-saving-equipment-to-ukraine/#:~:text=%E2%80%9CIreland%20is%20sending%20another%20significant,the%20wider%20coordinated%20EU%20effort.</t>
  </si>
  <si>
    <t xml:space="preserve">https://www.independent.ie/irish-news/news/10-hse-ambulances-sent-to-ukraine-to-help-in-humanitarian-effort-41789730.html </t>
  </si>
  <si>
    <t>ITH1</t>
  </si>
  <si>
    <t>Italy</t>
  </si>
  <si>
    <t xml:space="preserve">Grant with humanitarian purposes to the International Red Cross activities in Ukraine.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</si>
  <si>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https://www.esteri.it/en/politica-estera-e-cooperazione-allo-sviluppo/aree_geografiche/europa/litalia-a-sostegno-dellucraina/</t>
  </si>
  <si>
    <t>ITH2</t>
  </si>
  <si>
    <t xml:space="preserve">Food and first-necessity items. The aid package falls within the framework of the EU Civil Protection Mechanism (EUCPM). This mechanism organizes logistics for donations and covers some of the transportation cost. No further information regarding the shipment has been disclosed. </t>
  </si>
  <si>
    <t>https://www.esteri.it/it/sala_stampa/archivionotizie/comunicati/2022/03/fornitura-di-beni-umanitari-in-favore-della-popolazione-ucraina/</t>
  </si>
  <si>
    <t>ITH3</t>
  </si>
  <si>
    <t xml:space="preserve">Italian Civil Protection sent materials via Poland (200 tents for a total of 1000 people; 1000 camp beds; 1000 sleeping bags), medicines and medical equipment via Romania (23 ambulances, as well as 3 field kitchens).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</si>
  <si>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bed</t>
  </si>
  <si>
    <t>ITH4</t>
  </si>
  <si>
    <t xml:space="preserve">The Italian Corpo Nazionale dei Vigili del Fuoco donated 45 vehicles to their Ukrainian counterpart. The shipment, coordinated by the Italian Civil Protection, left by train towards Slovakia.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</si>
  <si>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fire-vehicle</t>
  </si>
  <si>
    <t>https://www.padovaoggi.it/cronaca/vigili-fuoco-mezzi-ucraina-padova-14-aprile-2022.html</t>
  </si>
  <si>
    <t>ITH5</t>
  </si>
  <si>
    <t>Donation amounting to 4 million EUR for the International Red Cross in Ukraine, 6 million for UNICEF in Ukraine and 6 million to the OCHA's "Ukraine Humanitarian Fund". All of these international organizations are active in Ukraine. We do not count donations made to international organisations that are not explicitly active in Ukraine.</t>
  </si>
  <si>
    <t>https://www.onuitalia.com/2022/04/20/ucraina-sereni-da-italia-26-milioni-di-aiuti-umanitari/</t>
  </si>
  <si>
    <t>ITM1</t>
  </si>
  <si>
    <t>Since February 2022, Italy has sent an undisclosed number of lethal and non-lethal weapons to Ukraine, worth a total of 150 million EUR according to a statement of the Italian Ministry of Defense. Also, "Source of Aid 3" reports that 50 million EUR are accountable to the equipment material, while the remainder is related to major and minor weapons. The Italian government has not disclosed the full list, but, thanks to a leak published by “Il Fatto Quotidiano”, Italy has sent an undisclosed number of Stinger launchers, millions of rounds of ammunition caliber 12.7, thousands of mortar bombs, Browning machine guns, thousands of helmets, Milan launchers and thousands of food rations. "Source of Aid 1" reports also aid for refugees, which we don't report in our dataset because it is not a flow directed to Ukraine. "Source of Aid 2" lists also the aid package reported in ITF1 (110 million EUR).</t>
  </si>
  <si>
    <t>https://www.repubblica.it/politica/2022/03/01/news/armi_ucraina_di_governo_oggi_camere-339750246/</t>
  </si>
  <si>
    <t>https://www.startmag.it/innovazione/armi-italia-ucraina/</t>
  </si>
  <si>
    <t>https://www.termometropolitico.it/1600183_guerra-russia-ucraina-litalia-invia-armi-e-mezzi-i-dettagli-delloperazione.html</t>
  </si>
  <si>
    <t>https://www.repubblica.it/esteri/2022/04/28/news/guerra_russia_ucraina_armi_italiane-347273567/</t>
  </si>
  <si>
    <t>ITM2</t>
  </si>
  <si>
    <t>Italy approved a second tranche of military aid for Ukraine. The Minister of Defence declared that the second tranche of aid "will be of the same nature as the first one", in terms of items sent (see ITM1). However, no further details were announced.</t>
  </si>
  <si>
    <t>https://www.gazzettaufficiale.it/eli/id/2022/04/27/22A02651/sg</t>
  </si>
  <si>
    <t>https://www.ilmessaggero.it/politica/armi_ucraina_italia_guerini_conte_draghi_costo_cosa_succede_governo_ultime_notizie-6652159.html</t>
  </si>
  <si>
    <t>ITM3</t>
  </si>
  <si>
    <t xml:space="preserve">Italy approved a third tranche (see ITM1 and ITM2) of military aid to Ukraine, which entails 155 mm FH70 howitzers, Lince armoured vehicles and M130 infantry guns, but does not include tanks or drones (see "Source of Aid 3") . According to "Source of Aid 2", on May 9 it became publicly know by John Kirby that besides Belgium (BEM4) and the Netherlands (NLM4), Italy would be sending either M-109 or 155mm howitzers PzH 2000, however the exact amount remains unclear. "Source of Aid 3" clarifies that Italy will deliver 155 mm FH70 towed howitzers (amount undisclosed). </t>
  </si>
  <si>
    <t>FH70 155mm howitzer</t>
  </si>
  <si>
    <t>https://www.gazzettaufficiale.it/atto/serie_generale/caricaDettaglioAtto/originario?atto.dataPubblicazioneGazzetta=2022-05-13&amp;atto.codiceRedazionale=22A02976&amp;elenco30giorni=false</t>
  </si>
  <si>
    <t>https://mil.in.ua/en/news/the-netherlands-italy-and-belgium-have-agreed-to-transfer-the-additional-155-mm-caliber-acs-to-ukraine/</t>
  </si>
  <si>
    <t>https://www.fanpage.it/politica/armi-allucraina-arriva-il-terzo-decreto-del-governo-lelenco-e-secretato-come-i-precedenti/</t>
  </si>
  <si>
    <t>https://www.ilmessaggero.it/mondo/armi_italia_ucraina_inviate_quali_sono_guerra_russia_ultime_notizie-6743279.html</t>
  </si>
  <si>
    <t>https://geopolitiki.com/italian-fh70-howitzers-ukraine-against-russians/</t>
  </si>
  <si>
    <t>Lince armoured car</t>
  </si>
  <si>
    <t>105mm Infantry Gun M130</t>
  </si>
  <si>
    <t>ITF1</t>
  </si>
  <si>
    <t>Grant worth 110 million EUR.</t>
  </si>
  <si>
    <t>https://www.ansa.it/sito/notizie/topnews/2022/02/27/di-maio-da-italia-110-milioni-di-euro-al-governo-di-kiev_946fac9e-f0a8-492e-9b12-7b64fefc6bac.html</t>
  </si>
  <si>
    <t>https://ua.interfax.com.ua/news/general/804360.html</t>
  </si>
  <si>
    <t>ITF2</t>
  </si>
  <si>
    <t>200 million EUR loan, with 1% annual interest rate and 15-year maturity.</t>
  </si>
  <si>
    <t>https://interfax.com/newsroom/top-stories/78794/</t>
  </si>
  <si>
    <t>JPH1</t>
  </si>
  <si>
    <t>Japan</t>
  </si>
  <si>
    <t>Japan provided a grant for medical equipment to Ukraine. It belongs to the "Economic and Social Development Programme". Note that "Source of Aid 1" also includes the signment of a loan of 100 million USD, which belongs to the total volume that was committed earlier (see JPF1).</t>
  </si>
  <si>
    <t>https://www.kmu.gov.ua/en/news/ukrayina-otrimaye-vid-yaponiyi-kredit-u-rozmiri-100-mln-dol-ssha-ta-grant-23-mln-dol-ssha</t>
  </si>
  <si>
    <t>https://ukranews.com/en/news/853495-japan-decides-to-allocate-usd-100-million-loan-and-usd-2-3-million-grant-to-ukraine</t>
  </si>
  <si>
    <t>JPH2</t>
  </si>
  <si>
    <t>Government of Japan decided to extend an Emergency Grant Aid of about 1.66 million US dollars, considering further increase of needs for humanitarian assistance to assist the people of Ukraine.</t>
  </si>
  <si>
    <t>https://www.mofa.go.jp/press/release/press3e_000396.html#:~:text=Emergency%20Grant%20Aid%20for%20the%20transportation%20of%20relief%20products%20for%20Ukraine,-May%2027%2C%202022&amp;text=On%20May%2027%2C%20the%20Government,assist%20the%20people%20of%20Ukraine.</t>
  </si>
  <si>
    <t>JPH3</t>
  </si>
  <si>
    <t>Japan announced to provide additional 100 million USD in humanitarian aid to Ukraine, without specifying any details of allocation of the funds.</t>
  </si>
  <si>
    <t>https://www.reuters.com/world/asia-pacific/japan-pm-kishida-extend-additional-100-mln-humanitarian-aid-ukraine-2022-06-28/</t>
  </si>
  <si>
    <t>https://japantoday.com/category/politics/japan-pm-kishida-to-extend-additional-100-million-in-humanitarian-aid-to-ukraine</t>
  </si>
  <si>
    <t>JPM1</t>
  </si>
  <si>
    <t>Military basic supplies such as bulletproof vests, helmets, power generators and food. According to "Source of Aid 2", this was enacted officially on March 8.</t>
  </si>
  <si>
    <t>https://www.wsj.com/livecoverage/russia-ukraine-latest-news-2022-03-04/card/japan-will-send-the-ukrainian-military-basic-supplies-VOtpnPjTX2ooK8dqQ8o8?msclkid=8d9aa20aaf4811eca75cd52c21f47675</t>
  </si>
  <si>
    <t>https://www.mofa.go.jp/press/release/press4e_003098.html</t>
  </si>
  <si>
    <t>https://cxtvnews.com/military/2022/03/07/japan-decides-to-send-military-supplies-to-ukraine/</t>
  </si>
  <si>
    <t>https://www.ukrinform.net/rubric-ato/3424220-japan-sends-military-protective-equipment-to-ukraine.html</t>
  </si>
  <si>
    <t>JPM2</t>
  </si>
  <si>
    <t>Japan announced the dispatchment of protective masks, clothing against chemical weapons and camera-equipped drones.</t>
  </si>
  <si>
    <t>protective mask with filter</t>
  </si>
  <si>
    <t>https://english.kyodonews.net/news/2022/04/00e4cd64dc1c-japan-to-offer-protective-masks-clothing-drones-to-ukraine.html</t>
  </si>
  <si>
    <t>https://www.asahi.com/ajw/articles/14608909</t>
  </si>
  <si>
    <t>chemical, biological, radiological, nuclear protective equipment</t>
  </si>
  <si>
    <t>JPF1</t>
  </si>
  <si>
    <t>Loan of at least 100 million USD to Ukraine. As stated by "Source of Aid 2", the loan is provided in cooperation with the World Bank. "Source of Aid 1" lists also the aid packages reported in JPH1 and JPM1. Moreover, "Source of Aid 1" reports a total value of aid amounting to 1.87 billion USD, however from 2014 on. We do not report this value in our dataset, because it considers aid prior to January 24, 2022.</t>
  </si>
  <si>
    <t>https://japan.kantei.go.jp/ongoingtopics/pdf/jp_stands_with_ukraine_eng.pdf</t>
  </si>
  <si>
    <t>https://www.mofa.go.jp/press/kaiken/kaiken24e_000113.html</t>
  </si>
  <si>
    <t xml:space="preserve">https://www.reuters.com/markets/europe/japan-offers-ukraine-100-mln-loans-show-support-2022-02-15/ </t>
  </si>
  <si>
    <t>JPF2</t>
  </si>
  <si>
    <t>Prime Minister Kishida announced to increase the previous granted loan (JPF1) to a total of 300 million USD. Hence, we consider here the increase of 200 million USD.</t>
  </si>
  <si>
    <t>https://www.reuters.com/world/europe/japan-trebles-loans-ukraine-300-mln-pm-kishida-other-leaders-2022-04-19/</t>
  </si>
  <si>
    <t>https://www.ukrinform.net/rubric-ato/3462246-japan-to-extend-300-million-in-loans-to-ukraine.html</t>
  </si>
  <si>
    <t>https://www.fxempire.com/news/article/japan-trebles-loans-to-ukraine-to-300-million-pm-kishida-to-other-leaders-972430</t>
  </si>
  <si>
    <t>JPF3</t>
  </si>
  <si>
    <t>Prime Minister Kishida announced to double the financial aid to Ukraine to 600 million USD (previous amount was also 300 million USD, see JPF1 and JPF2). The additional 300 million USD in loans ("Source of Aid 2" specifies that it will be a loan) are provided via the World Bank.</t>
  </si>
  <si>
    <t>https://japantoday.com/category/politics/japan-to-double-ukraine-aid-to-600-million</t>
  </si>
  <si>
    <t>https://www3.nhk.or.jp/nhkworld/en/news/20220519_02/</t>
  </si>
  <si>
    <t>https://www.business-standard.com/article/international/japan-will-double-financial-aid-for-ukraine-to-600-million-pm-kishida-122051900737_1.html</t>
  </si>
  <si>
    <t>LVH1</t>
  </si>
  <si>
    <t>Latvia</t>
  </si>
  <si>
    <t xml:space="preserve">Broad aid package covering various areas, ranging from support to Ukrainian media to support for international organizations working in Ukraine. Since we cannot disentangle the part of the aid dispatched to Ukrainian media from the part of the aid dispatched to international organizations, we apply our upper bound rule and report the entire package of 1.2 million EUR. We do not consider the 1.2 million sent through the European Peace Facility, since this is categorized as EU military aid. </t>
  </si>
  <si>
    <t>https://www.mfa.gov.lv/en/article/latvian-foreign-ministry-channel-eur-24000000-towards-assistance-ukraine</t>
  </si>
  <si>
    <t>https://eng.lsm.lv/article/society/defense/30-truckloads-of-equipment-heading-from-latvia-to-ukraine.a445455/</t>
  </si>
  <si>
    <t xml:space="preserve">https://eng.lsm.lv/article/society/society/latvia-has-sent-14-loads-of-donations-to-ukraine.a448977/ </t>
  </si>
  <si>
    <t>LVH2</t>
  </si>
  <si>
    <t>The Cabinet decided to donate two ambulances (according to the Cabinet, worth 83,693.93 EUR each) and 200 stretchers to the Borispil hospital (worth 29.88 EUR each). The aid package falls within the framework of the EU Civil Protection Mechanism (EUCPM).</t>
  </si>
  <si>
    <t>ambulance Latvia</t>
  </si>
  <si>
    <t xml:space="preserve">https://tapportals.mk.gov.lv/legal_acts/4cc2e5ed-8d7f-4052-8aaa-9a3a1d472b7d </t>
  </si>
  <si>
    <t>stretcher Latvia</t>
  </si>
  <si>
    <t>LVM1</t>
  </si>
  <si>
    <t>until 4/6/2022</t>
  </si>
  <si>
    <t>"Source of Aid 1", an email from the Ministry of Defense, quantifies the military aid to Ukraine to 220 million EUR and mentions the listed items. Among them are also Stinger anti-aircraft missile system ("Source of Aid 4" specifies the commitment of them). This is in line with a statement of Latvia's Minister of Foreign Affairs from April 6 (more than 200 million euros in support of the Ukraine, "Source of Aid 2") and includes LVM1. Considering the value Latvia provides via the European Peace Facility and which we therefore count as EU aid (1.2 million EUR, see "Source of Aid 3" - here we list also LVH1), we quantify 218.8 million EUR.</t>
  </si>
  <si>
    <t>armament</t>
  </si>
  <si>
    <t>E-Mail from the Ministry of Defence of the Republic of Latvia</t>
  </si>
  <si>
    <t>https://twitter.com/edgarsrinkevics/status/1511694357560180745?ref_src=twsrc%5Etfw%7Ctwcamp%5Etweetembed%7Ctwterm%5E1511694357560180745%7Ctwgr%5E%7Ctwcon%5Es1_&amp;ref_url=https%3A%2F%2Fwww.redditmedia.com%2Fmediaembed%2Ftxqhaq%3Fresponsive%3Dtrueis_nightmode%3Dfalse</t>
  </si>
  <si>
    <t>https://www.mod.gov.lv/en/news/latvia-delivers-stinger-anti-aircraft-missile-system-ukraine</t>
  </si>
  <si>
    <t>unmanned system</t>
  </si>
  <si>
    <t>helicopter</t>
  </si>
  <si>
    <t>protective gear and equipment (including first aid)</t>
  </si>
  <si>
    <t>MRE</t>
  </si>
  <si>
    <t>LVF1</t>
  </si>
  <si>
    <t>Latvia has contributed 5 million EUR to the Multi Donor Trust Fund set up by the World Bank to facility financial support to the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Denmark with 22 million USD, Latvia + Lithuania + Iceland with 12 million USD and Japan with 100 million USD.</t>
  </si>
  <si>
    <t>https://eng.lsm.lv/article/economy/economy/latvia-directs-additional-five-million-euros-to-ukraine.a446989/#:~:text=The%20Latvian%20government%20has%20directed,of%20military%20aggression%20by%20Russia.</t>
  </si>
  <si>
    <t>LVF2</t>
  </si>
  <si>
    <t>During the High-Level International Donor's Conference for Ukraine on May 5, 2022, Latvia announced to double its contribution by 10 million EUR (see "Source of Aid 1" at 1:39:20). "Source of Aid 2" clarifies  that this represents a loan guarantee as contribution to the IBRD PEACE project.</t>
  </si>
  <si>
    <t>https://www.vestnesis.lv/op/2022/118.11</t>
  </si>
  <si>
    <t>LTM1</t>
  </si>
  <si>
    <t>Lithuania</t>
  </si>
  <si>
    <t>until 3/16/2022</t>
  </si>
  <si>
    <t>Military aid worth a total of 29 million EUR. According to "Source of Aid 1", the Prime Minister indicated that this has included overall Stinger anti-aircraft systems, and other important military equipment like ammunition. However, no further information regarding the amounts and type of item supplied has been released.</t>
  </si>
  <si>
    <t>https://www.delfi.lt/en/politics/kasciunas-lithuania-provides-ukraine-with-military-aid-worth-eur-29-mln.d?id=89718941</t>
  </si>
  <si>
    <t>https://www.teletrader.com/lithuania-to-give-ukraine-10m-in-military-aid/news/details/57547008?internal=1&amp;ts=1654245351379</t>
  </si>
  <si>
    <t>LTM2</t>
  </si>
  <si>
    <t>The Lithuanian President announced the provision of at least 10 million EUR in additional military aid to Ukraine, including night vision devices and anti-drone weapons.</t>
  </si>
  <si>
    <t>https://www.lrt.lt/en/news-in-english/19/1652048/lithuania-to-provide-eur10m-in-military-aid-to-ukraine</t>
  </si>
  <si>
    <t>https://www.teletrader.com/lithuania-to-give-ukraine-10m-in-military-aid/news/details/57547008?internal=1&amp;ts=1650527739811</t>
  </si>
  <si>
    <t>anti-drone weapon</t>
  </si>
  <si>
    <t>LTM3</t>
  </si>
  <si>
    <t>The Lithuanian defense minister states that among the weapons sent to Ukraine heavy mortars to Ukraine. Even though the minister did not disclose a specific number, it was reported that the overall cost for this military assistance is worth "tens of millions" EUR, but a more detailed quantification is not possible. However, as the minister stated on April 26 that the total military aid Lithuania had provided until that date is worth 100 million ("Source of Aid 3"), we can subtract from this value the values for LTM1 (29 million EUR) and LTM2 (10 million EUR) and can apply a value fof 61 million EUR to correctly reflect the total military aid provided by Lithuania.</t>
  </si>
  <si>
    <t>mortar</t>
  </si>
  <si>
    <t>https://news.az/news/lithuania-supplies-another-batch-of-weapons-to-ukraine</t>
  </si>
  <si>
    <t>https://www.txtreport.com/news/2022-04-21-lithuania-has-provided-ukraine-with-large-mortars.Sk8DYtC45.html</t>
  </si>
  <si>
    <t>https://www.armyrecognition.com/defense_news_may_2022_global_security_army_industry/lithuania_prepares_a_shipment_of_20_m113_tracked_apcs_to_ukraine.html</t>
  </si>
  <si>
    <t>LTM4</t>
  </si>
  <si>
    <t>Lithuania announced to provide military equipment, worth about 15.5 million EUR. "Source of Aid 4" mentions that this package would bring the total value of Lithuania's military aid to 115 million EUR, which corresponds to the sum of LTM1 - LTM4.</t>
  </si>
  <si>
    <t>https://interfax.com/newsroom/top-stories/79528/</t>
  </si>
  <si>
    <t>https://www.lrt.lt/en/news-in-english/19/1702086/lithuania-to-hand-over-eur15-5-million-worth-of-armoured-vehicles-trucks-suvs-to-ukraine</t>
  </si>
  <si>
    <t>https://twitter.com/Lithuanian_MoD/status/1529371608766468097?ref_src=twsrc%5Etfw%7Ctwcamp%5Etweetembed%7Ctwterm%5E1529371608766468097%7Ctwgr%5E%7Ctwcon%5Es1_&amp;ref_url=https%3A%2F%2Fwww.republicworld.com%2Fworld-news%2Frussia-ukraine-crisis%2Frussia-ukraine-war-lithuania-to-send-armoured-personnel-carriers-in-military-aid-to-kyiv-articleshow.html</t>
  </si>
  <si>
    <t>https://www.lrt.lt/en/news-in-english/19/1702318/lithuania-among-top-15-of-ukraine-s-military-donors-mp</t>
  </si>
  <si>
    <t>https://twitter.com/UAWeapons/status/1530575142115495937</t>
  </si>
  <si>
    <t>off-road vehicle for demining operations</t>
  </si>
  <si>
    <t>LTH1</t>
  </si>
  <si>
    <t>Equipment and Assistance</t>
  </si>
  <si>
    <t xml:space="preserve">Shipment of first necessity items and equipment. The donations fall within the framework of the EU Civil Protection Mechanism (EUCPM). No further information regarding the shipment has been disclosed. </t>
  </si>
  <si>
    <t>https://lrv.lt/en/news/lithuania-allocates-1-8-mln-euro-worth-aid-to-ukraine?msclkid=2f9d4bd4b05c11ecbef1f3a571834d09</t>
  </si>
  <si>
    <t>LTH2</t>
  </si>
  <si>
    <t>The Lithuanian government approved a medical aid package to Ukraine worth 4 million EUR. According to "Source of Aid 1", it includes "medication, face masks, surgical kits, bandages, surgery gowns, various kits to stop bleeding and treat bone fractures, as well as burn wounds". Particular amounts remain undisclosed.</t>
  </si>
  <si>
    <t>https://www.lrt.lt/en/news-in-english/19/1628536/lithuania-to-send-eur4-million-medical-military-assistance-to-ukraine</t>
  </si>
  <si>
    <t>LTH3</t>
  </si>
  <si>
    <t>until 4/9/2022</t>
  </si>
  <si>
    <t>According to "Source of Aid 1", Lithuania expressed that it sent in-kind humanitarian and financial assistance worth 40 million EUR. Since no further information is provided, we include the total sum to avoid underestimating the true support. However, we take into account LTH1 and LTH2, and substract it from the mentioned aggregate sum (40-4-1.8=34.2).</t>
  </si>
  <si>
    <t>LTH4</t>
  </si>
  <si>
    <t>During the High-Level International Donor's Conference for Ukraine on May 5, 2022, Lithuania announced to provide additional 2 million EUR to support internally displaced people in Ukraine (01:44:52 in "Source of Aid 1").</t>
  </si>
  <si>
    <t>LTF1</t>
  </si>
  <si>
    <t>Together with Iceland and Latvia, Lithuania has contributed 12 million EUR to the Multi Donor Trust Fund set up by the World Bank to facilitate financial support to the Ukraine. Latvia contributed 5 million EUR through this vehicle (LVF1). We attribute another 5 million EUR to Lithuania (see "Source of Aid 2"). The contribution is part of the Emergency Financing Package established by the World Bank thats amounts to 723 million USD in total. Other countries have contributed to this Emergency Financing Package: the Netherlands with 89 million USD, Sweden with 50 million USD, the United Kingdom with 100 million USD, Denmark with 22 million USD, Latvia + Lithuania + Iceland with 12 million USD and Japan with 100 million USD.</t>
  </si>
  <si>
    <t>https://mof.gov.ua/en/news/ukraines_state_budget_financing_since_the_beginning_of_the_full-scale_war-3435</t>
  </si>
  <si>
    <t>LUM1</t>
  </si>
  <si>
    <t>Luxembourg</t>
  </si>
  <si>
    <t>Following "Source of Aid 1", Luxembourg's defense minister stated on April 25 that the country has provided 50 million EUR in military and financial support to Ukraine until this date. As the government does not provide a detailed breakdown of the total amount (see "Source of Aid 1"), we report the total as military support. Here, we list the two announcements that belong to this 50 million EUR package. First, on February 28 it was announced that Luxembourg would send lethal weapons and equipment. We do not include the military equipment provided to NATO since this is not a direct flow into Ukraine (i.e. not a sovereign-to-sovereign flow). For the same reson, we do not include Luxembourg's contribution to the European funding of 250 million EUR, which refers probably to the EU Civil Protection Mechanism (see "Source of Aid 2" and "Source of Aid 3" of the package from February 28). Second, the minister of defense stated on March 28 that Luxembourg sent more than what is listed above, including protective vests and gas masks.</t>
  </si>
  <si>
    <t>https://delano.lu/article/luxembourg-gives-50m-in-milita</t>
  </si>
  <si>
    <t>https://gouvernement.lu/en/actualites/toutes_actualites/communiques/2022/02-fevrier/28-bausch-ukraine.html</t>
  </si>
  <si>
    <t>https://delano.lu/article/zelenskyy-thanks-luxembourg-fo</t>
  </si>
  <si>
    <t>https://delano.lu/article/luxembourg-delivering-substant</t>
  </si>
  <si>
    <t>NLAW anti-tank weapon</t>
  </si>
  <si>
    <t>Jeep Wrangler 4x4</t>
  </si>
  <si>
    <t>LUH1</t>
  </si>
  <si>
    <t>until 5/5/2022</t>
  </si>
  <si>
    <t>According to the statement of the Prime Minister as of May 5 (see 2:17:20 in "Source of Aid 1"), Luxembourg had until that date contributed 3 million EUR in humanitarian aid to Ukraine. Being part of it, we report for Luxembourg a a delivery containing medical and technical equipment as of February 28 ("Source of Aid 2"). This assistance falls within the framework of the EU Civil Protection Mechanism (EUCPM). No further information regarding the shipment has been disclosed.</t>
  </si>
  <si>
    <t>https://www.youtube.com/watch?v=A1nTsblXabc</t>
  </si>
  <si>
    <t>https://gouvernement.lu/en/actualites/toutes_actualites/communiques/2022/02-fevrier/28-bofferding-ucpm.html</t>
  </si>
  <si>
    <t>LUH2</t>
  </si>
  <si>
    <t xml:space="preserve">"Source of Aid 1" indicates that Luxembourg sent material contributions, namely 50 tons of fire-fighting equipment and medical supplies and medicines. Note that we do not count the mentioned assistance of 2.8 million in "Source of Aid 1", because this is devoted to multilateral organizations. The Prime Minister reiterated this aid within his statement, as of May 5 ("Source of Aid 2", 2:17:20). </t>
  </si>
  <si>
    <t>ton of fire-fighting equipment</t>
  </si>
  <si>
    <t>https://today.rtl.lu/news/luxembourg/a/1881929.html</t>
  </si>
  <si>
    <t>LUH3</t>
  </si>
  <si>
    <t>Luxembourg increased its humanitarian efforts with 1 million EUR "with a focus on children's safety" (see 2:17:40 in "Source of Aid 1").</t>
  </si>
  <si>
    <t>MTH1</t>
  </si>
  <si>
    <t>Malta</t>
  </si>
  <si>
    <t>The government announced a dispatchement of humanitarian assistance (without providing further information) through the EU Civil Protection Mechanism. "Source of Aid 2" specifies that the aid includes medical supplies. However, it does not provide sufficient information to estimate its total monetary value.</t>
  </si>
  <si>
    <t>https://www.independent.com.mt/articles/2022-02-25/local-news/Malta-to-send-humanitarian-aid-to-Ukrainian-people-6736240942</t>
  </si>
  <si>
    <t>https://www.maltatoday.com.mt/news/national/115195/malta_will_give_medical_supplies_to_ukraine_as_eu_leaders_agree_on_sanctions#.YmFaPo_P2Uk</t>
  </si>
  <si>
    <t>MTH2</t>
  </si>
  <si>
    <t xml:space="preserve">Six large containers with medicines and medical equipment with a value of 1.15 million EUR, delivered through a coordinated national effort between the Ministry for Foreign and European Affairs and the Ministry for Home Affairs, National Security and Law Enforcement. Efforts are being coordinated by the Civil Protection Department. </t>
  </si>
  <si>
    <t>https://foreignandeu.gov.mt/en/Government/Press%20Releases/Pages/The-Government-of-Malta-is-committed-to-providing-official-aid-to-address-the-humanitarian-needs-of-the-people-of-Ukraine.aspx</t>
  </si>
  <si>
    <t>NLM1</t>
  </si>
  <si>
    <t>Netherlands</t>
  </si>
  <si>
    <t>Military equipment, equipment for protection (such as helmets, vests, detectors and radar systems) and lethal weapons such as rifles and ammunitions. "Source of Aid 3" mentions that the Minister of Foreign Affairs quantifies this package to about 7.4 million EUR. This delivery is part of the total military aid by the Netherlands until March 31, amounting to 50 million EUR ("Source of Aid 1").</t>
  </si>
  <si>
    <t>https://english.defensie.nl/latest/news/2022/04/06/a-look-at-the-defence-news-28-march---3-april</t>
  </si>
  <si>
    <t>https://www.government.nl/topics/russia-and-ukraine/news/2022/02/18/the-netherlands-intends-to-supply-military-goods-to-ukraine</t>
  </si>
  <si>
    <t>https://www.volkskrant.nl/nieuws-achtergrond/nederland-levert-militaire-goederen-en-wapens-aan-oekraine-ter-waarde-van-7-4-miljoen-euro~be2a2004/?referrer=https%3A%2F%2Fen.wikipedia.org%2F</t>
  </si>
  <si>
    <t>https://www.news18.com/news/world/ukraine-asks-for-military-aid-from-world-netherlands-us-among-25-countries-to-provide-support-4814291.html</t>
  </si>
  <si>
    <t>metal detector</t>
  </si>
  <si>
    <t>wire-guided detection robots for land and sea mine detection</t>
  </si>
  <si>
    <t>ground surveillance radar system</t>
  </si>
  <si>
    <t>weapon locating radar system</t>
  </si>
  <si>
    <t>sniper rifle</t>
  </si>
  <si>
    <t>round of ammunition for sniper rifles</t>
  </si>
  <si>
    <t xml:space="preserve">Lethal weapons. This delivery is part of the total military aid by the Netherlands until March 31, amounting to 50 million EUR ("Source of Aid 1"). We don't include the Dutch contribution to NATO, since it's not a direct flow to Ukraine and not a sovereign-to-sovereign donation. </t>
  </si>
  <si>
    <t>https://www.defensie.nl/actueel/nieuws/2022/02/26/ook-antitankwapens-van-nederland-naar-oekraine</t>
  </si>
  <si>
    <t>https://www.rijksoverheid.nl/documenten/kamerstukken/2022/02/27/kamerbrief-update-afgifte-vergunning-voor-de-export-van-militaire-goederen-aan-oekraine</t>
  </si>
  <si>
    <t>https://www.aljazeera.com/news/2022/2/26/germany-approves-delivery-of-rpgs-from-netherlands-to-ukraine</t>
  </si>
  <si>
    <t>missile for Panzerfaust 3</t>
  </si>
  <si>
    <t>On March 16, the Defence Minister announced that the Netherlands are going to provide additional weapons ("Source of Aid 2"). However, no further information was given. This delivery is part of the total military aid by the Netherlands until March 31, amounting to 50 million EUR ("Source of Aid 1").</t>
  </si>
  <si>
    <t>https://www.reuters.com/world/europe/dutch-others-will-continue-deliver-weapons-ukraine-dutch-minister-2022-03-16/</t>
  </si>
  <si>
    <t>The Netherlands announced to send, in addition to howitzers (see "NLM2") to send armored vehicles ("Source of Aid 2"). "Source of Aid 3" specifies that it is about YPR-765 infantry vehicles. And as we can track the delivery of them until June 7, they are part of the total military aid provided until June 9, amounting to 130.4 million EUR.</t>
  </si>
  <si>
    <t xml:space="preserve"> YPR-765 infantry vehicle</t>
  </si>
  <si>
    <t>https://twitter.com/MinPres/status/1516393082148773892</t>
  </si>
  <si>
    <t>https://www.oryxspioenkop.com/2022/04/beyond-call-dutch-arms-deliveries-to.html</t>
  </si>
  <si>
    <t>https://defence-blog.com/dutch-ypr-765-infantry-vehicles-arrived-in-ukraine/</t>
  </si>
  <si>
    <t>until 6/9/2022</t>
  </si>
  <si>
    <t>It was reported that the Netherlands have provided Ukraine with an undisclosed amount of drones. Moreover, as clarified by "Source of Aid 2", this has not included armed drones.</t>
  </si>
  <si>
    <t>https://nos.nl/artikel/2432074-nederland-levert-ook-drones-aan-oekraine-per-ongeluk-bekend-geworden</t>
  </si>
  <si>
    <t>NLM2</t>
  </si>
  <si>
    <t>"Source of Aid 1" states that the Netherlands planned to send heavy weapons on April 19, without specifying further information. On April 20, Bloomberg reported that the Netherlands are sending some of its Panzerhaubitze 2000 long-range armored howitzers to Ukraine. "Source of Aid 3" (as of April 25) indicates the shipment of five 155mm Howitzers. Moreover, the Netherlands are going to send armored fighting vehicles (undisclosed amount).</t>
  </si>
  <si>
    <t>https://www.forbes.com/sites/sebastienroblin/2022/04/21/the-dutch-are-sending-huge-german-armored-howitzers-to-ukraine/?sh=6c70196f9380</t>
  </si>
  <si>
    <t>https://twitter.com/oleksiireznikov/status/1539234531764486149</t>
  </si>
  <si>
    <t>NLM3</t>
  </si>
  <si>
    <t>As reported by the British Minister of Defence, the Netherlands announced to support Ukraine with anti-ship rockets, namely Harpoon missiles. No further information regarding the amount was disclosed.</t>
  </si>
  <si>
    <t>https://nltimes.nl/2022/06/16/netherlands-give-ukraine-anti-ship-rockets</t>
  </si>
  <si>
    <t>https://www.defencetalk.com/uk-to-deliver-rocket-launchers-to-ukraine-soon-defence-secretary-78981/</t>
  </si>
  <si>
    <t>NLM4</t>
  </si>
  <si>
    <t>In a common statement together with the German Minister, the Dutch Minister of Defence announced to provide together with Germany in total six additional Panzerhaubitze 2000, three by each of the both countries.</t>
  </si>
  <si>
    <t>https://www.reuters.com/world/europe/germany-netherlands-supply-six-more-howitzers-kyiv-2022-06-28/</t>
  </si>
  <si>
    <t>https://www.dw.com/en/germany-netherlands-promise-additional-howitzers-to-ukraine/a-62294789</t>
  </si>
  <si>
    <t>NLH1</t>
  </si>
  <si>
    <t>Emergency assistance worth 15 million EUR. "Source of Aid 1" and "Source of Aid 2" list also other aid packages directed to or offered by international organizations and, thus, not reported in our main dataset. We don't report the 20 million EUR given to the United Nations, the aid provided by the Dutch Relief Alliance (DRA) amounting to  2.5 million EUR, the 1 million EUR provided to the United Nation's Office of the High Commissioner for Human Rights (OHCHR), the 1 million EUR fund established for the defense of human rights, the aid provided by the UN Central Emergency Fund nor by the World Health Organization's Contingency Fund for Emergencies (CFE).</t>
  </si>
  <si>
    <t>https://www.government.nl/topics/russia-and-ukraine/dutch-aid-for-ukraine#:~:text=Humanitarian%20aid%20for%20Ukraine%20The%20Netherlands%20is%20supporting,available%20for%20victims%20of%20the%20war%20in%20Ukraine.?msclkid=75995df0b05d11eca834a0801d91bf9b</t>
  </si>
  <si>
    <t>https://www.vindobona.org/article/attack-on-ukraine-austria-extends-aid-from-foreign-disaster-fund-to-a-total-of-17-5-million-euros</t>
  </si>
  <si>
    <t>NLH2</t>
  </si>
  <si>
    <t>since 2/24/2022</t>
  </si>
  <si>
    <t>Support of the work of the Red Cross in Ukraine and in neighboring countries where refugees are fleeing to. Since it is not possible to differentiate the sum dispatched to Ukraine from the sum dispatched to the neighboring countries, we include the total sum of 1.5 million EUR (following our upper value rule). "Source of Aid 1" lists also other aid packages directed to or offered by international organizations and, thus, not reported in our main dataset (for further information, refer to the explanation of NLH1).</t>
  </si>
  <si>
    <t>NLH3</t>
  </si>
  <si>
    <t>Medical supplies and equipment. Donations from the private sector are not included in our dataset, since they are no a sovereign-to-sovereign flow.</t>
  </si>
  <si>
    <t>https://netherlandsnewslive.com/the-netherlands-supplies-medicines-and-medical-supplies-to-ukraine/373516/</t>
  </si>
  <si>
    <t>coat</t>
  </si>
  <si>
    <t>mouth mask</t>
  </si>
  <si>
    <t>NLH4</t>
  </si>
  <si>
    <t>Prime Minister Rutte stated that the Netherlands is going to provide 5 million EUR of fuel (no quantity specified, see NLH5) and furthermore, 17 ambulances (see 2:15:30, "Source of Aid 1").</t>
  </si>
  <si>
    <t>NLH5</t>
  </si>
  <si>
    <t>Prime Minister Rutte stated that the Netherlands is going to provide 5 million EUR of fuel (no quantity specified) and furthermore, 17 ambulances (see NLH4) (see 2:15:30, "Source of Aid 1").</t>
  </si>
  <si>
    <t>NLF1</t>
  </si>
  <si>
    <t>The Netherlands have contributed 80 million EUR to the "FREE Ukraine Support Package". The latter is part of the Emergency Financing Package established by the World Bank and amounting to 723 million USD. Other countries have contributed to Emergency Financing Package: Sweden with 50 million USD, United Kingdom with 100 million USD, Denmark with 22 million USD, Latvia + Lithuania + Iceland with 12 million USD and Japan with 100 million USD.</t>
  </si>
  <si>
    <t>NZM1</t>
  </si>
  <si>
    <t>New Zealand</t>
  </si>
  <si>
    <t>The aid consists of protective equipment (body armor plates, helmets, and camouflage vests) announced in tandem with NZM2.</t>
  </si>
  <si>
    <t>https://www.beehive.govt.nz/release/nz-provide-non-lethal-military-assistance-ukraine</t>
  </si>
  <si>
    <t>https://www.reuters.com/world/new-zealand-provide-ukraine-with-non-lethal-military-assistance-2022-03-21/</t>
  </si>
  <si>
    <t>https://www.rnz.co.nz/news/national/464762/first-shipment-of-nz-defence-equipment-arrives-to-aid-ukraine</t>
  </si>
  <si>
    <t>camouflage vest</t>
  </si>
  <si>
    <t>NZM2</t>
  </si>
  <si>
    <t>03/21/2022</t>
  </si>
  <si>
    <t>The total sum is attributed to a NATO Trust Fund that provides non-lethal military aid to Ukraine as well as a direct transfer to the Ukrainian army. Since the share going directly to the Ukrainian army remains undisclosed, we consider the total sum in our data. Retroactively, the share going to the NATO trust fund was revealed as being NZD 4.24 million as mentioned in Source of Aid 4. However we still report the whole donation value of NZD 5 million here, as both the donation to the NATO trust fund as well as the direct transfer to the Ukrainian army are considered bilateral military aid.</t>
  </si>
  <si>
    <t>NZD</t>
  </si>
  <si>
    <t>https://www.mfat.govt.nz/en/countries-and-regions/europe/ukraine/russian-invasion-of-ukraine/</t>
  </si>
  <si>
    <t>https://www.beehive.govt.nz/release/further-aotearoa-new-zealand-support-ukraine</t>
  </si>
  <si>
    <t>NZM4</t>
  </si>
  <si>
    <t>Support commercial satellite access for the Ukrainian Defence Intelligence.</t>
  </si>
  <si>
    <t>https://www.defensenews.com/global/asia-pacific/2022/04/13/new-zealand-bolsters-support-for-ukraine/</t>
  </si>
  <si>
    <t>https://www.aa.com.tr/en/russia-ukraine-war/new-zealand-announces-13m-additional-aid-for-ukraine/2560551</t>
  </si>
  <si>
    <t>NZM5</t>
  </si>
  <si>
    <t xml:space="preserve">New Zealand contributes financially to a weapons and ammunition procurement fund. The fund is set up by the United Kingdom, but is used as a means to transfer in-kind military donation to Ukraine. Since it is similar to other cases like the EU Civil protection mechanism or the World Bank funds (Donation ID WBF1, WBF2), we include this contribution. </t>
  </si>
  <si>
    <t>NZM6</t>
  </si>
  <si>
    <t>New Zealand provides approximately 40 gun sights to Ukraine, along with a small quantity of ammunition for training purposes. The gun sights and ammunition are connected to weapons training, that Ukrainian Soldiers receive in the UK, for the L119 105mm light field guns. Source of Aid 1 states that 30 men will be deployed to the United Kingdom to aid in the training of Ukrainian Soldiers for using the L119 Light Field gun.</t>
  </si>
  <si>
    <t>gun sight for L119 Light Field gun</t>
  </si>
  <si>
    <t>https://www.beehive.govt.nz/release/nz-provide-additional-deployment-support-ukraine</t>
  </si>
  <si>
    <t>https://www.stuff.co.nz/national/300597643/new-zealand-soldiers-excited-to-assist-ukraine-with-light-gun-training</t>
  </si>
  <si>
    <t>105mm light field gun ammunition</t>
  </si>
  <si>
    <t>NZM7</t>
  </si>
  <si>
    <t xml:space="preserve">New Zealand announced to provide NZD 4.5 million to the NATO trust fund to ensure the procurement of non-lethal military aid. Source of Aid 1 mentions that this package comes on top of an earlier commitment to the same NATO trust fund over NZD 4.21 million, which is reported in donation ID NZM2. </t>
  </si>
  <si>
    <t>NZH1</t>
  </si>
  <si>
    <t>The funding will support health facilities on the ground and provide basic needs like food and hygiene items.</t>
  </si>
  <si>
    <t>https://www.rnz.co.nz/news/world/462443/new-zealand-pledges-2m-for-ukraine-aid</t>
  </si>
  <si>
    <t>https://www.dw.com/en/new-zealand-announces-new-measures-to-support-ukraine/a-61127549</t>
  </si>
  <si>
    <t>NZH2</t>
  </si>
  <si>
    <t xml:space="preserve">The funding of NZD 2 million will support to the United Nations’ Ukraine Humanitarian Fund. The fund works with a range of UN agencies and NGOs to meet the most urgent unmet humanitarian needs through the provision of healthcare, food aid, clean water, shelter and other humanitarian assistance for millions of people inside Ukraine. Source of Aid 1 mentions NZD 8 million in humanitarian aid. Of these, we only count NZD 4 million in total (NZH1, NZH2), as NZD 2 million will be given to an NGO in New Zealand and NDZ 2 million will be given to the UN Refugee Agency, both times not directly benefitting Ukraine. </t>
  </si>
  <si>
    <t>NOM1</t>
  </si>
  <si>
    <t>Norway</t>
  </si>
  <si>
    <t>2,000 M72 LAWs (portable anti-armor weapons) have been announced to be sent to Ukraine. "Source of Aid 3" indicates the delivery of 4,000 NLAWs in total (see also NOM2).</t>
  </si>
  <si>
    <t>https://www.regjeringen.no/en/aktuelt/norway-to-provide-weapons-to-ukraine/id2902587/</t>
  </si>
  <si>
    <t>https://www.regjeringen.no/en/aktuelt/ukrainefund/id2909840/</t>
  </si>
  <si>
    <t>https://www.regjeringen.no/en/aktuelt/air-defense-system-to-ukraine/id2908807/</t>
  </si>
  <si>
    <t>https://www.aa.com.tr/en/russia-ukraine-war/norway-sends-roughly-100-anti-aircraft-missiles-to-ukraine/2568447</t>
  </si>
  <si>
    <t>NOM2</t>
  </si>
  <si>
    <t>Additional 2,000 M72 LAWs (portable anti-armor weapons) have been announced to be sent to Ukraine. "Source of Aid 3" indicates the delivery of 4,000 NLAWs in total (also see NOM1).</t>
  </si>
  <si>
    <t>https://www.regjeringen.no/en/aktuelt/norway-provides-additional-weapons-to-ukraine/id2906254/</t>
  </si>
  <si>
    <t>NOM3</t>
  </si>
  <si>
    <t>Norway has announced 100 units of the Mistral Air Defence missiles and an unknown number of Mistral Launchers to be sent to Ukraine.</t>
  </si>
  <si>
    <t>Mistral Air Defence Launcher</t>
  </si>
  <si>
    <t>https://www.regjeringen.no/en/topics/foreign-affairs/humanitarian-efforts/neighbour_support/id2908141/</t>
  </si>
  <si>
    <t>Mistral Air Defence Missile</t>
  </si>
  <si>
    <t>https://techartica.com/this-is-the-first-view-of-the-mistral-antiaircraft-system-in-ukraine-it-shows-how-civilian-cars-are-used-at-war-front/</t>
  </si>
  <si>
    <t>NOM4</t>
  </si>
  <si>
    <t>until 4/27/2022</t>
  </si>
  <si>
    <t>Norway has donated 1,500 bulletproof vests, 5,000 helmets, 15,000 field rations, 1,000 protective masks with filters, 2,000 sleeping bags, 10,000 sleeping mats, and clothing to Ukraine.</t>
  </si>
  <si>
    <t>https://www.regjeringen.no/en/aktuelt/norway-to-increase-support-to-ukraine-and-provide-military-equipment/id2902406/</t>
  </si>
  <si>
    <t>https://www-forsvaret-no.translate.goog/aktuelt-og-presse/aktuelt/sender-militaerutstyr-og-vapen-til-ukraina?_x_tr_sl=auto&amp;_x_tr_tl=auto&amp;_x_tr_hl=de</t>
  </si>
  <si>
    <t>sleeping mat</t>
  </si>
  <si>
    <t>Clothes</t>
  </si>
  <si>
    <t>NOM5</t>
  </si>
  <si>
    <t>Funding for Weapon Acquisition Program</t>
  </si>
  <si>
    <t>Norway contributes to a weapon and ammunition procurement fund to coordinate acquisition of military equipment for Ukraine. The fund is led by the United Kingdom and coordinates the purchase and transport of defence equipment for Ukraine. The same fund is also mentioned in donation ID NZM5.</t>
  </si>
  <si>
    <t>NOK</t>
  </si>
  <si>
    <t>NOM6</t>
  </si>
  <si>
    <t>According to Source of Aid 1, Norway has delivered 22 M109 artillery guns as well as an undisclosed number of equipment, spare parts and ammunition for the howitzer. Since the announcement came after the package has already been delivered, we report it as having been announced and delivered until June 7. Source of Aid 4 mentions 5000 155mm Artillery shells, additionally to 5000 already donated. We report the additional 5000 155mm shells in ID NOM7. The initial 5000 155mm shells mentioned in Source of Aid 4 are reported in this donation, changing the undisclosed amount from Source of Aid 1-3 into 5000.</t>
  </si>
  <si>
    <t>M109 155mm howitzer</t>
  </si>
  <si>
    <t>https://www-regjeringen-no.translate.goog/no/aktuelt/norge-har-donert-artilleriskyts-til-ukraina/id2917760/?_x_tr_sl=auto&amp;_x_tr_tl=auto&amp;_x_tr_hl=de</t>
  </si>
  <si>
    <t>https://www.politico.eu/article/norway-ukraine-donates-howitzers/</t>
  </si>
  <si>
    <t>https://www.ukrinform.net/rubric-ato/3502204-norway-donates-22-m109-howitzers-to-ukraine.html</t>
  </si>
  <si>
    <t xml:space="preserve">https://www.regjeringen.no/en/aktuelt/norge-og-storbritannia-gir-langtrekkende-rakettartilleri-til-ukraina/id2921395/  </t>
  </si>
  <si>
    <t>equipment for M109 artillery gun</t>
  </si>
  <si>
    <t>spare parts for M109 artillery gun</t>
  </si>
  <si>
    <t>NOM7</t>
  </si>
  <si>
    <t xml:space="preserve">Norway announced that they will provide 5000 155mm howitzer shells. Source of Aid 1 mentions 5000 additional 155mm howitzer shells, which are recorded in donation ID NOM6. Source of Aid 1 also mentions 3 Multiple Launch Rocket Systems (MLRS), which will be donated. However, these MLRS will be given to the United Kingdom for upgrading and to replace MLRS that the UK has sent to Ukraine. We therefore do not count these 3 MLRS for Norway, as they do not benefit the Ukraine directly. </t>
  </si>
  <si>
    <t>https://www.regjeringen.no/en/aktuelt/norge-og-storbritannia-gir-langtrekkende-rakettartilleri-til-ukraina/id2921395/</t>
  </si>
  <si>
    <t>NOH1</t>
  </si>
  <si>
    <t>Aid through the EU Civil Protection Mechanism</t>
  </si>
  <si>
    <t>Following "Source of Aid 1", Norway has provided 265 million NOK in aid through the EU Civil Protection Mechanism to Ukraine. Note that "Source of Aid 1" also lists another package of 100 million NOK (NOH2) and the budget support reported in NOF1.</t>
  </si>
  <si>
    <t xml:space="preserve">https://www.regjeringen.no/en/topics/foreign-affairs/humanitarian-efforts/neighbour_support/id2908141/ </t>
  </si>
  <si>
    <t>https://twitter.com/norwayeu/with_replies</t>
  </si>
  <si>
    <t>NOH2</t>
  </si>
  <si>
    <t>Following "Source of Aid 1", Norway has provided additional NOK 100 million in medical supplies and material assistance to Ukraine through the EU Civil Protection Mechanism. The information what material assistance includes, is undisclosed.</t>
  </si>
  <si>
    <t>NOH3</t>
  </si>
  <si>
    <t xml:space="preserve">Norway offered to treat 550 wounded Ukrainian soldiers in Norway. Source of Aid 1 mentions the arrival of the first ones in Norway. This aid falls under the framework of the EU Civil protection mechanism. Since there is no monetary value of the donation given by the donor and this type of aid is difficult to quantify, we will leave the monetary value cells empty. </t>
  </si>
  <si>
    <t>https://www.regjeringen.no/en/aktuelt/first-wounded-soldiers-from-ukraine-arrive/id2918391/</t>
  </si>
  <si>
    <t>NOF1</t>
  </si>
  <si>
    <t>until 5/11/2022</t>
  </si>
  <si>
    <t>The money will be transfered to Ukraine through the Emergency Aid package by the World Bank and is intended to support key government services and pay sallaries in the public sector. Source of Aid 1, 2 state the commitment of initial NOK 200 million, while Source of Aid 3 states an additional commitment of NOK 100 million to the same cause, also via the World Bank Fund.</t>
  </si>
  <si>
    <t>https://norwaytoday.info/news/norway-is-giving-200-million-kroner-to-ukrainian-teachers-and-government-employees/</t>
  </si>
  <si>
    <t>https://www.regjeringen.no/en/aktuelt/additional-nok-100-million/id2911879/</t>
  </si>
  <si>
    <t>NOF2</t>
  </si>
  <si>
    <t>Norway decided to allocate NOK 50 million in funding to the European Bank for Reconstruction and Development (EBRD) to help ensure that essential agricultural inputs reach farmers in time.</t>
  </si>
  <si>
    <t>https://www.regjeringen.no/en/aktuelt/norwegian-support-for-farmers/id2911804/</t>
  </si>
  <si>
    <t>https://wataha.no/en/2022/05/07/Norwegian-support-for-farmers-in-Ukraine/</t>
  </si>
  <si>
    <t>PLH1</t>
  </si>
  <si>
    <t>Poland</t>
  </si>
  <si>
    <t>120 wagons with 1,500 tons of food. We do not count the aid given to refugees displaced in Poland or in neighbouring countries.</t>
  </si>
  <si>
    <t>https://twitter.com/PremierRP_en/status/1510971075936542726</t>
  </si>
  <si>
    <t>https://tvn24.pl/polska/ukraina-pomoc-humanitarna-z-polski-dotarla-na-ukraine-5660490</t>
  </si>
  <si>
    <t>https://polskatimes.pl/polska-przekazala-ukraincom-pomoc-humanitarna-o-wartosci-300-milionow-zlotych/ar/c1-16217063</t>
  </si>
  <si>
    <t>PLH2</t>
  </si>
  <si>
    <t>Food and medical equipment (02:06:00 of "Source of Aid 1") pledged during the International Donors' Conference on May 5, 2022.</t>
  </si>
  <si>
    <t>PLM1</t>
  </si>
  <si>
    <t>37 trucks with humanitarian aid, weapons and military equipment. No further information has been disclosed, hence, we cannot further quantify this package.</t>
  </si>
  <si>
    <t>https://twitter.com/michaldworczyk/status/1494357415915048962?s=21&amp;t=L7Uw2JWRBlkceKl-kFEvSQ</t>
  </si>
  <si>
    <t>PLM2</t>
  </si>
  <si>
    <t>until 6/27/2022</t>
  </si>
  <si>
    <t xml:space="preserve">On June 27 (see "Source of Aid 4"), Michał Dworczyk, the head of the Chancellery of the Prime Minister, said in a interview by Radio Plus that Poland has sent a total amount of 1,8 billion EUR in military aid to Ukraine. </t>
  </si>
  <si>
    <t>Piorun man-portable air-defense system</t>
  </si>
  <si>
    <t xml:space="preserve">https://www.wsj.com/livecoverage/russia-ukraine-latest-news-2022-04-29/card/poland-has-sent-more-than-200-tanks-to-ukraine-Krwar3DCPzHJJk4UMVh4#:~:text=Poland%20has%20sent%20at%20least,escalating%20fight%20for%20its%20east </t>
  </si>
  <si>
    <t>https://www.rp.pl/biznes/art35754421-polska-bron-dla-ukrainy-pierwsze-transporty-dotarly-kolejne-w-drodze</t>
  </si>
  <si>
    <t>https://cxtvnews.com/military/2022/02/26/polish-military-aid-equipment-has-arrived-in-ukraine/</t>
  </si>
  <si>
    <t>https://300gospodarka.pl/news/dworczyk-wartosc-polskiej-pomocy-militarnej-dla-ukrainy-to-juz-18-mld-euro</t>
  </si>
  <si>
    <t>https://rmx.news/poland/polish-army-to-order-additional-piorun-anti-air-missiles-after-the-weapon-outperforms-on-ukrainian-battlefield/</t>
  </si>
  <si>
    <t>light anti-tank weapon</t>
  </si>
  <si>
    <t>https://kyivindependent.com/uncategorized/poland-has-provided-ukraine-with-weapons-worth-1-6-billion/</t>
  </si>
  <si>
    <t>60 mm LMP-2017 mortar</t>
  </si>
  <si>
    <t>FlyEye drone</t>
  </si>
  <si>
    <t>https://radar.rp.pl/przemysl-obronny/art35751811-pioruny-drony-i-amunicja-polskie-uzbrojenie-w-drodze-na-ukraine</t>
  </si>
  <si>
    <t>5 56 mm, 23 mm firearms for the ZU-23-2 cannon</t>
  </si>
  <si>
    <t>152 mm, 125 mm and 122 mm artillery ammunition</t>
  </si>
  <si>
    <t>round of ammunition for 60 mm LMP 2017 mortar</t>
  </si>
  <si>
    <t>https://www.wsj.com/livecoverage/russia-ukraine-latest-news-2022-04-29/card/poland-has-sent-more-than-200-tanks-to-ukraine-Krwar3DCPzHJJk4UMVh4</t>
  </si>
  <si>
    <t>Warmate drone</t>
  </si>
  <si>
    <t xml:space="preserve">https://mezha.media/en/2022/04/25/the-warmate-uav-a-polish-alternative-to-the-switchblades-kamikaze-drone-already-in-ukraine/#:~:text=%23Ukraine%3A%20Ukrainian%20forces%20started%20to,the%20front%20of%20the%20drone &amp;text=Warmate%20barrage%20ammunition%20was%20created,of%20Poland%20since%20autumn%202017 </t>
  </si>
  <si>
    <t xml:space="preserve"> AHS Krab self-propelled howitzer</t>
  </si>
  <si>
    <t>https://mil.in.ua/en/news/poland-will-hand-over-the-155-mm-krab-ahs-self-propelled-howitzers-to-ukraine/</t>
  </si>
  <si>
    <t>https://www.armyrecognition.com/defense_news_may_2022_global_security_army_industry/poland_delivers_to_ukraine_18_krab_155mm_self-propelled_howitzers.html</t>
  </si>
  <si>
    <t>PLF1</t>
  </si>
  <si>
    <t>Swap-line</t>
  </si>
  <si>
    <t>The Polish central bank extended a currency swap line of 1 billion USD to the Ukrainian Central Bank, allowing it to draw dollar funds. This is akin to a standing credit line, i.e. a loan (see corresponsing paper for further explanations). Originally, the swap line was denominated in Zloty (4 billion Polish Zloty, which according to the euronews article in "Source of Aid 3" is equal to 1 billion USD).</t>
  </si>
  <si>
    <t>https://www.nbp.pl/homen.aspx?f=/en/aktualnosci/2022/24.02-2.html</t>
  </si>
  <si>
    <t xml:space="preserve">https://www.centralbanking.com/central-banks/financial-stability/7933406/poland-offers-ukraine-swap-line-as-nbu-suspends-forex-transactions </t>
  </si>
  <si>
    <t xml:space="preserve">https://www.euronews.com/next/2022/03/21/ukraine-crisis-poland-cenbank </t>
  </si>
  <si>
    <t>PLF2</t>
  </si>
  <si>
    <t>30 million PLN donated by the BGK Polish Development Bank.</t>
  </si>
  <si>
    <t>PLN</t>
  </si>
  <si>
    <t>https://www.bgk.pl/aktualnosc/bgk-polish-development-bank-has-donated-pln-30-million-to-help-ukraine/</t>
  </si>
  <si>
    <t>PTH1</t>
  </si>
  <si>
    <t>Portugal</t>
  </si>
  <si>
    <t>Portugal has sent a medical aid package, comprising 204,000 units of medicines, including antibiotics, pain medicines, hydration serums, syringes and needles, among other products. This aid package belongs to the EU Civil Protection Mechanism.</t>
  </si>
  <si>
    <t>https://www.sulinformacao.pt/en/2022/03/ucrania-portugal-envia-medicamentos-material-medico-e-equipamento-de-emergencia-humanitaria/</t>
  </si>
  <si>
    <t>https://www.theportugalnews.com/news/2022-03-04/portugal-sends-ukraine-100000-of-medical-supplies/65610</t>
  </si>
  <si>
    <t>PTH2</t>
  </si>
  <si>
    <t>Humanitarian assistance to Ukraine (along with 1 million EUR given to the UN, which we do not consider in our dataset as it is not a direct contribution to Ukraine).</t>
  </si>
  <si>
    <t>https://www.portugal.gov.pt/pt/gc23/comunicacao/noticia?i=portugal-doa-21-milhoes-de-euros-a-ucrania</t>
  </si>
  <si>
    <t>PTM1</t>
  </si>
  <si>
    <t>The Portuguese government announced to provide military equipment consisting of ballistic vests, helmets, night vision goggles, grenades, and ammunition of different calibres, complete portable radios, analogue repeaters and G3 automatic rifles.</t>
  </si>
  <si>
    <t>https://www.portugal.gov.pt/en/gc22/communication/announcement?i=assistance-to-ukraine</t>
  </si>
  <si>
    <t>https://mobile.twitter.com/AAhronheim/status/1498004573528772608</t>
  </si>
  <si>
    <t>https://www.theportugalnews.com/news/2022-04-07/portugal-to-send-more-military-material-to-ukraine/66259</t>
  </si>
  <si>
    <t>rifle + MG round</t>
  </si>
  <si>
    <t>portable radio</t>
  </si>
  <si>
    <t>G3 automatic rifle</t>
  </si>
  <si>
    <t>PTM2</t>
  </si>
  <si>
    <t>The Portuguese defence minister announced that the government would send another 99 tons of military and medical support to Ukraine, without providing any further information on the shipment.</t>
  </si>
  <si>
    <t>https://twitter.com/defesa_pt/status/1513633729666818052</t>
  </si>
  <si>
    <t>https://www.theportugalnews.com/news/2022-04-12/portugal-sending-over-99-tonnes-of-medical-and-military-materials/66356</t>
  </si>
  <si>
    <t>https://www.macaubusiness.com/portugal-country-to-send-further-99-t-medical-military-equipment-to-ukraine/</t>
  </si>
  <si>
    <t>PTM3</t>
  </si>
  <si>
    <t>Portugal has ordered 4 armored vehicles to support Ukraine.</t>
  </si>
  <si>
    <t>Iveco M 40.12 WM/P 4x4 armored vehicle</t>
  </si>
  <si>
    <t>https://europe-cities.com/2022/04/30/us-pressuring-portugal-to-cede-armored-vehicles-to-ukraine/</t>
  </si>
  <si>
    <t>https://www.armyrecognition.com/defense_news_may_2022_global_security_army_industry/us_pushing_portugal_to_cede_some_m113_apcs_to_ukraine.html</t>
  </si>
  <si>
    <t>PTM4</t>
  </si>
  <si>
    <t>15 units of M113 armored personnel carriers, 5 units of 155-mm howitzers, communications equipment and other small arms.</t>
  </si>
  <si>
    <t>https://mil.in.ua/en/news/portugal-is-preparing-to-hand-over-m113-armored-personnel-carriers-to-ukraine-media/</t>
  </si>
  <si>
    <t>https://en.defence-ua.com/weapon_and_tech/portugal_to_send_howitzers_and_apcs_to_ukraine-2846.html</t>
  </si>
  <si>
    <t>M114 155mm Howitzer</t>
  </si>
  <si>
    <t>PTM5</t>
  </si>
  <si>
    <t>160 tons of aid, including military equipment, medical and humanitarian support.</t>
  </si>
  <si>
    <t>https://babel.ua/en/news/78825-portugal-will-hand-over-another-160-tons-of-military-aid-to-ukraine</t>
  </si>
  <si>
    <t>https://frontnews.eu/en/news/details/30810</t>
  </si>
  <si>
    <t>PTF1</t>
  </si>
  <si>
    <t>250 million EUR grant, which will have a 100 million EUR disbursement in the year 2022 and three subsequential disbursements of 50 million EUR each in the next three years. The commitment is aimed at giving budgetary support and will be mainly provided through the IMF.</t>
  </si>
  <si>
    <t>https://www.kmu.gov.ua/en/news/portugaliya-nadast-ukrayini-do-250-mln-yevro-finansovoyi-pidtrimki-denis-shmigal</t>
  </si>
  <si>
    <t>https://www.ukrinform.net/rubric-polytics/3488816-portugal-will-provide-financial-assistance-to-ukraine.html</t>
  </si>
  <si>
    <t>https://www.bvinet.com/2022/05/21/ukraine-will-receive-250-million-euros-of-financial-assistance-from-portugal/</t>
  </si>
  <si>
    <t>https://www-rtp-pt.translate.goog/noticias/politica/ajuda-financeira-a-ucrania-primeiros-100-milhoes-de-euros-serao-entregues-ainda-este-ano_v1406838?_x_tr_sl=pt&amp;_x_tr_tl=it&amp;_x_tr_hl=it&amp;_x_tr_pto=op,sc</t>
  </si>
  <si>
    <t>KOH1</t>
  </si>
  <si>
    <t>South Korea</t>
  </si>
  <si>
    <t>The aid package consists of humanitarian in-kind donations. There exists no list of specific items included in this package, while the total value of the package was indicated by the donor.</t>
  </si>
  <si>
    <t>https://reliefweb.int/report/ukraine/korea-provide-humanitarian-assistance-people-ukraine</t>
  </si>
  <si>
    <t>https://www.reuters.com/world/europe/ukraines-zelenskiy-says-tens-thousands-killed-mariupol-seeks-military-aid-skorea-2022-04-11/</t>
  </si>
  <si>
    <t>http://www.koreaherald.com/view.php?ud=20220228000968</t>
  </si>
  <si>
    <t>KOH2</t>
  </si>
  <si>
    <t>The aid package consists of additional in-kind humanitarian aid. There exists no list of specific items included in this package, while the total value of the package was indicated by the donor.</t>
  </si>
  <si>
    <t>https://www.usnews.com/news/world/articles/2022-04-11/ukraines-zelenskiy-says-tens-of-thousands-killed-in-mariupol-seeks-military-aid-from-s-korea</t>
  </si>
  <si>
    <t>https://twitter.com/KyivIndependent/status/1516621305608552451?ref_src=twsrc%5Etfw</t>
  </si>
  <si>
    <t>KOH3</t>
  </si>
  <si>
    <t>South Korea has decided to provide assistance worth approximately US$1.2 million to Ukraine through the International Atomic Energy Agency (IAEA) to support the safe and secure operation of Ukraine’s nuclear power plants under the threat of military conflict</t>
  </si>
  <si>
    <t>https://www.mofa.go.kr/eng/brd/m_5676/view.do?seq=322053</t>
  </si>
  <si>
    <t>https://www.koreatimes.co.kr/www/nation/2022/06/113_330680.html</t>
  </si>
  <si>
    <t>KOM1</t>
  </si>
  <si>
    <t>South Korea has announced to support Ukraine with 1 billion KRW (800,000 USD) of non-lethal military equipment, such as bulletproof helmets and medical kit. There exists no list of specific items included in this package, while the total value of the package was indicated by the donor.</t>
  </si>
  <si>
    <t>https://www.france24.com/en/live-news/20220411-zelensky-says-he-believes-tens-of-thousands-killed-in-mariupol</t>
  </si>
  <si>
    <t>https://english.alarabiya.net/News/world/2022/04/11/Zelenskyy-believes-tens-of-thousands-killed-in-Ukraine-s-Mariupol</t>
  </si>
  <si>
    <t>https://consent.yahoo.com/v2/collectConsent?sessionId=3_cc-session_a65137b7-2008-4f6a-9d84-5817bf1a558b</t>
  </si>
  <si>
    <t>KOM2</t>
  </si>
  <si>
    <t>The aid package includes items including bulletproof vests, helmets, medical supplies and meals, ready-to-eat (MREs). There exists no list of specific items included in this package, while the total value of the package was indicated by the donor.</t>
  </si>
  <si>
    <t>https://mil.in.ua/en/news/south-korea-will-be-providing-ukraine-with-additional-aid-worth-1-6-million/</t>
  </si>
  <si>
    <t>https://en.yna.co.kr/view/AEN20220413000800325</t>
  </si>
  <si>
    <t>medical equipment</t>
  </si>
  <si>
    <t>KOM3</t>
  </si>
  <si>
    <t xml:space="preserve">South Korea announced to provide further non-lethal military protection equipment. The shipment consists of equipment needed for chemical, biological, radiological protection. Since no further information about the exact item list has been disclosed, we report the value of donation as given by donor only. </t>
  </si>
  <si>
    <t>https://see.news/south-korea-to-send-non-lethal-aid-to-ukraine/</t>
  </si>
  <si>
    <t>https://www.tellerreport.com/news/2022-05-26-south-korea-to-provide-ukraine-with-chemical-defense-equipment-worth-1-5-billion-won.HJuNwyTvc.html</t>
  </si>
  <si>
    <t>https://en.yna.co.kr/view/AEN20220526005300325</t>
  </si>
  <si>
    <t>ROH1</t>
  </si>
  <si>
    <t>Romania</t>
  </si>
  <si>
    <t xml:space="preserve">Medical equipment, including packs of analgesics, anti-inflammatory medicines, antibiotics, and hand disinfectants. The donation falls within the framework of the EU Civil Protection Mechanism (EUCPM). No further information regarding the shipment has been disclosed. </t>
  </si>
  <si>
    <t>pack of analgesics</t>
  </si>
  <si>
    <t>https://ec.europa.eu/commission/presscorner/detail/en/ip_22_1222</t>
  </si>
  <si>
    <t>https://www.romania-insider.com/ro-ukraine-eu-civil-protection-feb-2022</t>
  </si>
  <si>
    <t>pack of anti-inflammatory</t>
  </si>
  <si>
    <t>pack of antibiotics</t>
  </si>
  <si>
    <t>ROH2</t>
  </si>
  <si>
    <t>Equipment and medicines</t>
  </si>
  <si>
    <t xml:space="preserve">Subsistence material worth 5 million EUR. We don't include in our dataset the 30 tons of humanitarian assistance provided through private donations, since it doesn't represent aid coming directly from the Romanian government. </t>
  </si>
  <si>
    <t>RON</t>
  </si>
  <si>
    <t>https://gov.ro/en/news/medical-equipment-and-medicines-donated-by-romania-in-support-of-ukraine&amp;page=13</t>
  </si>
  <si>
    <t>ROH3</t>
  </si>
  <si>
    <t>The government of Romania announced to donate 11 fully-equipped ambulances.</t>
  </si>
  <si>
    <t>https://www.romania-insider.com/romania-donates-ambulances-ukraine-2022</t>
  </si>
  <si>
    <t>ROH4</t>
  </si>
  <si>
    <t>1,900 tons of fuel worth 3.2 million EUR and announced on May 5, 2022, at the International Donors' Conference (see 1:22:40 in "Source of Aid 1").</t>
  </si>
  <si>
    <t>https://www-puterea-ro.translate.goog/romania-ofera-ucrainei-o-noua-contributie-de-asistenta-umanitara/?_x_tr_sl=ro&amp;_x_tr_tl=en&amp;_x_tr_hl=en&amp;_x_tr_pto=sc</t>
  </si>
  <si>
    <t>ROM1</t>
  </si>
  <si>
    <t>Tranche of military equipment worth 3 million EUR, consisting of fuels, bulletproof vests, helmets, ammunition and military equipment, food, water and medicines. We don't include in our dataset the aid directed to Ukrainian refugees in Romania, listed in "Source of Aid 1", "Source of Aid 2" and "Source of Aid 3".</t>
  </si>
  <si>
    <t>https://gov.ro/ro/stiri/declaratii-de-presa-sustinute-de-purtatorul-de-cuvant-al-guvernului-dan-carbunaru-privind-masurile-luate-de-executiv-in-cadrul-edintei-task-force-pentru-gestionarea-situatiei-generate-de-agresiunea-militara-rusa-din-ucraina&amp;page=2</t>
  </si>
  <si>
    <t xml:space="preserve">https://www.romania-insider.com/ro-aid-ukraine-sanctions-feb-28-2022 </t>
  </si>
  <si>
    <t xml:space="preserve">https://www.reuters.com/world/europe/romania-send-fuel-ammunition-ukraine-2022-02-27/ </t>
  </si>
  <si>
    <t>https://twitter.com/TheEconomist/status/1506413311272886276</t>
  </si>
  <si>
    <t>ROM2</t>
  </si>
  <si>
    <t>Undisclosed amount of weapons will be sent in the future.</t>
  </si>
  <si>
    <t>https://ua.interfax.com.ua/news/general/825450.html</t>
  </si>
  <si>
    <t>https://ukranews.com/en/news/850937-romania-will-transfer-lethal-weapons-from-its-own-reserves-to-ukraine-media</t>
  </si>
  <si>
    <t>SKH1</t>
  </si>
  <si>
    <t>Slovakia</t>
  </si>
  <si>
    <t>5 million EUR for the development of regions in Ukraine and for internally displaced Ukranians. In our dataset, we do not include the 530 million EUR mentioned in "Source of Aid 1" , since they are dedicated to refugees and to countries supporting Ukraine.</t>
  </si>
  <si>
    <t>https://twitter.com/eduardheger/status/1512777474828079109</t>
  </si>
  <si>
    <t>SKM1</t>
  </si>
  <si>
    <t>Military items, including five demining sets.</t>
  </si>
  <si>
    <t>https://twitter.com/eduardheger/status/1495764246780645377</t>
  </si>
  <si>
    <t>https://spectator.sme.sk/c/22842829/slovakia-will-send-mine-clearance-systems-and-healthcare-material-to-ukraine.html</t>
  </si>
  <si>
    <t>SKM2</t>
  </si>
  <si>
    <t>Military equipment worth 4.5 million EUR (see "Source of Aid 2"). It contains 486 anti-tank missiles and anti-tank rockets, along with 100 air defense launchers (see "Source of Aid1" or "Source of Aid 3").</t>
  </si>
  <si>
    <t>anti-tank missile and anti-tank rocket</t>
  </si>
  <si>
    <t>https://twitter.com/eduardheger/status/1498055152045015046</t>
  </si>
  <si>
    <t>https://spectator.sme.sk/c/22850259/slovakia-will-send-more-military-aid-to-ukraine.html</t>
  </si>
  <si>
    <t>https://www.aa.com.tr/en/russia-ukraine-crisis/slovakia-to-send-more-military-supplies-to-ukraine-premier-says/2518136</t>
  </si>
  <si>
    <t>https://www.reuters.com/world/europe/slovakia-says-it-delivered-air-defence-anti-tank-rockets-ukraine-2022-02-28/</t>
  </si>
  <si>
    <t>air defense launcher</t>
  </si>
  <si>
    <t>SKM3</t>
  </si>
  <si>
    <t xml:space="preserve">Lethal weapons and military equipment worth 32.2 million EUR. </t>
  </si>
  <si>
    <t>https://twitter.com/eduardheger/status/1499479828218658819</t>
  </si>
  <si>
    <t>https://www.reuters.com/article/ukraine-crisis-slovakia-defence-idUSL2N2V626W</t>
  </si>
  <si>
    <t>SKM4</t>
  </si>
  <si>
    <t>Unknown number of liters of fuel and rounds of ammunitions, for a total value of 11 million EUR.</t>
  </si>
  <si>
    <t>https://twitter.com/eduardheger/status/1497624801497821188</t>
  </si>
  <si>
    <t>SKM5</t>
  </si>
  <si>
    <t>https://www.defensenews.com/global/europe/2022/04/11/slovakia-could-sell-howitzers-to-ukraine-and-repair-its-tanks-vehicles/</t>
  </si>
  <si>
    <t>SKM6</t>
  </si>
  <si>
    <t>S-300 air defence system. According to the Slovak Minister of Defense, the monetary value of the military aid amounts to 68 million EUR (see "Source of Aid 3").</t>
  </si>
  <si>
    <t>S-300 air defence system</t>
  </si>
  <si>
    <t>https://twitter.com/eduardheger/status/1512386024399376389</t>
  </si>
  <si>
    <t>https://abcnews.go.com/Politics/us-sends-patriot-battery-slovakia-ukraine-300-anti/story?id=83965999</t>
  </si>
  <si>
    <t>https://spectator.sme.sk/c/22895899/slovakia-donates-military-equipment-to-ukraine.html</t>
  </si>
  <si>
    <t>https://www.nytimes.com/2022/04/14/world/europe/ukraine-russia-nato-s300.html</t>
  </si>
  <si>
    <t>SKM7</t>
  </si>
  <si>
    <t>Donation of Mi-17 and Mi-2 helicopters and "thousands" of multiple rocket launchers. Since "Source of Aid 2" mentions the shipment of "thousands" of rocket launchers, we approximate the number to 2000 units.</t>
  </si>
  <si>
    <t>Mi-17 and Mi-2 SKM7</t>
  </si>
  <si>
    <t>https://www.usnews.com/news/world/articles/2022-06-16/slovaks-give-mi-helicopters-grad-rockets-to-ukraine#:~:text=June%2016%2C%202022%2C%20at%202%3A26%20a.m.&amp;text=(Reuters)%20%2D%20Slovakia%20has%20donated,defence%20minister%20said%20on%20Thursday.</t>
  </si>
  <si>
    <t>https://kyivindependent.com/news-feed/slovakia-supplies-5-helicopters-ammunition-for-grad-multiple-rocket-launchers</t>
  </si>
  <si>
    <t> https://kyivindependent.com/news-feed/slovakia-supplies-5-helicopters-ammunition-for-grad-multiple-rocket-launchers</t>
  </si>
  <si>
    <t>GRAD multiple rocket launcher rocket</t>
  </si>
  <si>
    <t>SIH1</t>
  </si>
  <si>
    <t>Slovenia</t>
  </si>
  <si>
    <t>Material assistance</t>
  </si>
  <si>
    <t xml:space="preserve">Material assistance worth 163,000 EUR, consisting mostly of medical equipment. The aid package falls within the framework of the EU Civil Protection Mechanism (EUCPM). Our dataset does not include the 1.1 million EUR aid package dispatched to the International Committee of the Red Cross (ICRC - 100,000 EUR), to the United Nations Office for the Coordination of Humanitarian Affairs (UN OCHA - 400,000 EUR), to the United Nations High Commissioner for Refugees (UNHCR - 400,000 EUR) and to Caritas Internationalis (200,000 EUR), since it is not a direct donation to Ukraine. </t>
  </si>
  <si>
    <t>diesel-powered generator</t>
  </si>
  <si>
    <t>https://www.gov.si/en/news/2022-02-26-humanitarian-contribution-of-the-republic-of-slovenia-to-the-people-of-ukraine/</t>
  </si>
  <si>
    <t xml:space="preserve">https://www.gov.si/en/news/2022-03-01-minister-logar-announces-eur-1-1-million-in-humanitarian-aid-for-ukraine/ </t>
  </si>
  <si>
    <t xml:space="preserve">https://www.gov.si/en/news/2022-03-07-eu-development-ministers-on-emergency-humanitarian-aid-to-ukraine/ </t>
  </si>
  <si>
    <t>pair of rubber boots</t>
  </si>
  <si>
    <t>pair of latex gloves</t>
  </si>
  <si>
    <t>pair of nitrile gloves</t>
  </si>
  <si>
    <t>SIH2</t>
  </si>
  <si>
    <t xml:space="preserve">Humanitarian contribution of 100.000 EUR to the International Committee of the Red Cross in Ukraine. </t>
  </si>
  <si>
    <t>https://sloveniatimes.com/slovenia-sending-eur-100000-aid-to-ukraine/</t>
  </si>
  <si>
    <t>SIH3</t>
  </si>
  <si>
    <t>40 tons of first-necessity items (38 according to "Source of Aid 2"), such as toiletries, first aid kits, food and firefighter equipment. No further information regarding the shipment has been disclosed. Our dataset does not report the aid delivered by the Slovenian Caritas, mentioned in "Source of Aid 1", since it is not a flow coming directly from the Slovenian government.</t>
  </si>
  <si>
    <t>https://www.rtvslo.si/radio-si/news/slovenia-sending-more-aid-to-ukraine/616960</t>
  </si>
  <si>
    <t xml:space="preserve">https://english.sta.si/3017990/tonnes-of-aid-for-ukraine-dispatched-this-week </t>
  </si>
  <si>
    <t>SIH4</t>
  </si>
  <si>
    <t>1.64 million EUR in assistance to Ukraine and neighboring countries. No further information about this flow has been disclosed. Since we cannot disentangle the assistance directed to Ukraine from the one directed to neighboring countries, we apply our "upper bound rule" and include this value in our dataset to avoid underestimating the true extent of assistance to Ukraine. Moreover, the 40 tons of necessity mentioned in SIH1 are likely part of the 1.64 million EUR. We don't substract the 40 tons  from 1.64 million EUR because we don't have any monetary value for SIH1.</t>
  </si>
  <si>
    <t>https://www.gov.si/en/news/2022-04-06-eu-directors-general-for-development-cooperation-on-coordination-of-assistance-for-ukraine/</t>
  </si>
  <si>
    <t>https://twitter.com/MZZRS/status/1511723242939105281</t>
  </si>
  <si>
    <t>SIH5</t>
  </si>
  <si>
    <t>Material assistance including IP phones, computers, petrol generators, antennas, and cables.</t>
  </si>
  <si>
    <t>IP phone</t>
  </si>
  <si>
    <t>https://english.sta.si/3031756/slovenia-to-send-additional-material-aid-to-ukraine</t>
  </si>
  <si>
    <t>https://www.rtvslo.si/radio-si/news/slovenia-promises-aid-to-ukraine/625786</t>
  </si>
  <si>
    <t>https://babel.ua/en/news/78193-slovenia-will-provide-180-000-in-financial-assistance-to-ukraine</t>
  </si>
  <si>
    <t>laptop</t>
  </si>
  <si>
    <t>desktop</t>
  </si>
  <si>
    <t>petrol generator</t>
  </si>
  <si>
    <t>antenna</t>
  </si>
  <si>
    <t>cable</t>
  </si>
  <si>
    <t>SIM1</t>
  </si>
  <si>
    <t>until 6/14/2022</t>
  </si>
  <si>
    <t>Undisclosed number of rifles, ammunitions and helmets. The EU contribution of 450 million EUR + 50 million EUR, cited by "Source of Aid 1", is reported in EUM1. The military assistance worth 163,000 EUR and mentioned in "Source of Aid 2" is reported in SIH1. According to the Slovak minister of Foreign Affairs, Slovenia's military assistance to Ukraine amounts to 7 million EUR. We report the amount under the column "Monetary Value as Given by Source" and list all items found in "Item". According to the Slovak minister of Foreign Affairs (see "Source of Aid 4"), Slovenia has also donated a total of 3,2 million EUR in humanitarian aid to Ukraine. This is in line with our narrative, since we count a total of 2,083 million EUR (SIH1-SIH5)  and discard the 1,1 million EUR promised to international organisations that are not explicitly active in Ukraine (2,083+ 1,1= 3,2)</t>
  </si>
  <si>
    <t>rifle</t>
  </si>
  <si>
    <t>https://n1info.si/novice/svet/slovenija-ukrajini-ze-poslala-puske-streliva-in-celade/</t>
  </si>
  <si>
    <t>https://www.euractiv.com/section/politics/short_news/slovenia-sends-military-aid-including-weapons-to-ukraine/</t>
  </si>
  <si>
    <t xml:space="preserve">https://www.politico.com/news/2022/03/22/ukraine-weapons-military-aid-00019104 </t>
  </si>
  <si>
    <t>https://www.total-slovenia-news.com/politics/10138-slovenia-moves-from-military-to-humanitarian-aid-for-ukraine</t>
  </si>
  <si>
    <t>ESH1</t>
  </si>
  <si>
    <t>Spain</t>
  </si>
  <si>
    <t>Protective equipment and medical supplies</t>
  </si>
  <si>
    <t>Spain's Ministry of Foreign Affairs sent 20 tons of personal protective equipment and medical supplies worth 150,000 EUR (masks; gloves; medical protection suits; helmets; flak jackets; NBC protection waistcoats). The assistance falls within the framework of the EU Civil Protection Mechanism (EUCPM). This mechanism organizes logistics for donations and covers some of the transportation cost. Thus, we do not include the 10,000 EUR spent in transport, cited by "Source of Aid 1", since this expense is covered by the EU Civil Protection Mechanism.</t>
  </si>
  <si>
    <t>https://www.lamoncloa.gob.es/lang/en/gobierno/news/Paginas/2022/20220226_humanitarian-aid.aspx</t>
  </si>
  <si>
    <t xml:space="preserve">https://www.lamoncloa.gob.es/lang/en/gobierno/news/Paginas/2022/20220227_aid-to-ukraine.aspx </t>
  </si>
  <si>
    <t>https://twitter.com/desdelamoncloa/status/1497563071761453057</t>
  </si>
  <si>
    <t>ESH2</t>
  </si>
  <si>
    <t xml:space="preserve">5,500 hospital beds, 1,184 of which are pediatrics. This is in addition to the 20 tonnes of personal protective equipment sent on February 26, 2022 (ESH1). </t>
  </si>
  <si>
    <t>https://twitter.com/sanidadgob/status/1503783624969265161</t>
  </si>
  <si>
    <t>https://www.sanidad.gob.es/en/gabinete/notasPrensa.do?id=5684</t>
  </si>
  <si>
    <t>hospital pediatric bed</t>
  </si>
  <si>
    <t>ESH3</t>
  </si>
  <si>
    <t>23 million EUR directed to Ukraine, which are part of a 31 million EUR humanitarian package allocated by the Ministry of Foreign Affairs, European Union and Cooperation. Of the 31 million EUR, 23 million EUR will go to Ukraine and 8 million EUR will go to the neighboring countries (20 tonnes of medication to Poland and 30 tonnes to Moldova). We do not include the 8 million EUR in our dataset, since this is not a flow directed to Ukraine. Moreover, Spain allocated 25 million EUR to various international organizations and 3 million EUR to Spanish NGOs. These flows are not included either, since they don't represent sovereign-to-sovereign flows directed to Ukraine.</t>
  </si>
  <si>
    <t>https://www.exteriores.gob.es/Embajadas/washington/en/Comunicacion/Noticias/Paginas/Articulos/20220317_NEWS01.aspx</t>
  </si>
  <si>
    <t>https://www.exteriores.gob.es/Embajadas/washington/en/Comunicacion/Noticias/Paginas/Articulos/20220324_NEWS01.aspx#:~:text=Last%20week%2C%20the%20Government%20approved,Directive%20within%20the%20EU%20framework.</t>
  </si>
  <si>
    <t>ESH4</t>
  </si>
  <si>
    <t>until 4/8/2022</t>
  </si>
  <si>
    <t>"Source of Aid 1" mentions that before Spain announced to send 50 tons to Ukraine (ESH5), the country provided a total of 19 tons in humanitarian aid, worth about 1,161,542 EUR. Among them are, according to the "Sources of Aid 2 &amp; 3", 11 tons of medical material given by Autonomous Communities (a first-level political and administrative division which guarantees limited autonomy to the regions constituting Spain).</t>
  </si>
  <si>
    <t>https://www.lamoncloa.gob.es/lang/en/gobierno/news/Paginas/2022/20220411_health-shipment.aspx</t>
  </si>
  <si>
    <t>https://twitter.com/Defensagob/status/1512424894881017857</t>
  </si>
  <si>
    <t>https://www.defensa.gob.es/gabinete/notasPrensa/2022/04/DGC-220408-visita-centro-militar-farmacia.html</t>
  </si>
  <si>
    <t>ESH5</t>
  </si>
  <si>
    <t>Medicines</t>
  </si>
  <si>
    <t xml:space="preserve">50 tons of medical material given by the Autonomous Communities (a first-level political and administrative division which guarantees limited autonomy to the regions constituting Spain, see "Source of Aid 2"). The material was delivered by the Armed Forces. This is in addition to the 11 tons of medical material sent previously (ESH4). </t>
  </si>
  <si>
    <t>ESM1</t>
  </si>
  <si>
    <t>Lethal weapons, including 1,370 anti-tank grenade launchers, 700,000 rifles and an undisclosed number of machine-gun rounds and light machine guns.</t>
  </si>
  <si>
    <t>grenade launcher</t>
  </si>
  <si>
    <t>https://www.reuters.com/world/europe/spain-send-grenade-launchers-machine-guns-ukraine-minister-says-2022-03-02/</t>
  </si>
  <si>
    <t xml:space="preserve">https://www.aa.com.tr/en/europe/spain-to-send-weapons-to-ukrainian-forces/2520902 </t>
  </si>
  <si>
    <t>https://euroweeklynews.com/2022/03/05/spanish-grenade-launchers-sent-to-ukraine/</t>
  </si>
  <si>
    <t>ESM2</t>
  </si>
  <si>
    <t>Spain has declared that new weapons will be shipped. Our dataset reports the 1 billion EUR cited in "Source of Aid 2" as it represents the aid devoted by the European Peace Facility so far (EUM1 and EUM2).</t>
  </si>
  <si>
    <t>https://www.thelocal.es/20220311/spain-to-send-more-weapons-to-ukraine/</t>
  </si>
  <si>
    <t>https://www.barrons.com/news/spain-to-send-more-weapons-to-ukraine-01647003007</t>
  </si>
  <si>
    <t>ESM3</t>
  </si>
  <si>
    <t>An RG-31 ambulance of the Armed Forces, delivered to help evacuate the wounded from the most affected regions.</t>
  </si>
  <si>
    <t>RG-31 ambulance</t>
  </si>
  <si>
    <t>https://twitter.com/Defensagob/status/1508877933242372096</t>
  </si>
  <si>
    <t>https://pledgetimes.com/spain-sends-an-armored-ambulance-and-more-weapons-to-ukraine/</t>
  </si>
  <si>
    <t>ESM4</t>
  </si>
  <si>
    <t>New batch of military aid consisting of 200 tons of military material. This was announced by the prime minister without specifying the aid in more detail. However, "Source of Aid 2" discloses that the package includes 200 tons of ammunition, 20 armored vehicles and 30 military trucks. Prime Minister Sanchez specifies that this package would more than double what Spain had delivered until that date. "Source of Aid 4" admits this by quantifying the aid up to the date to 170 tons. The source specifies that the entries ESH1 and ESM1 belong to this amount.</t>
  </si>
  <si>
    <t>ton of rifle + MG round</t>
  </si>
  <si>
    <t>https://www.lamoncloa.gob.es/lang/en/presidente/news/paginas/2022/20220421_visit-to-ukraine.aspx</t>
  </si>
  <si>
    <t>https://armyrecognition.com/ukraine_-_russia_invasion_conflict_war/full_list_of_us_european_weapons_and_military_equipment_delivered_to_ukraine.html</t>
  </si>
  <si>
    <t>https://www.ukrinform.net/rubric-defense/3463928-spain-sends-new-military-aid-batch-to-ukraine.html</t>
  </si>
  <si>
    <t>https://westobserver.com/news/europe/40-spanish-made-military-trucks-and-off-road-vehicles-for-ukraine-travel-in-the-ysabel/</t>
  </si>
  <si>
    <t>https://www.thelocal.es/20220421/spain-sends-200-tonnes-of-military-material-to-ukraine-pm/</t>
  </si>
  <si>
    <t>VAMTAC 4x4 armored vehicle</t>
  </si>
  <si>
    <t>lorry</t>
  </si>
  <si>
    <t>ESM5</t>
  </si>
  <si>
    <t>According to media reports, Spain plans to provide Ukraine with a undisclosed amount of Aspide anti-aircraft missiles as well as with Leopard 2A4 tanks. According to "Source of Aid 2", the preparations to deliver the Aspide missiles are already in an advanced stage. On the other hand, the delivery of Leopard 2A4 tanks is subject to at least two factors, according to "Source of Aid 3". First of all the approval from the German government since Spain bought them from Germany in 1995. And secondly, the tanks need a complete overhaul. Even though "Source of Aid 2" speaks about 40 tanks that could be delivered, another media report as of June 8 ("Source of Aid 4") clarifies that Spain would send only up to ten Leopard 2A4 tanks.</t>
  </si>
  <si>
    <t>Leopard 2A4</t>
  </si>
  <si>
    <t>https://www.reuters.com/world/europe/spain-deliver-anti-aircraft-missiles-tanks-ukraine-el-pais-2022-06-05/</t>
  </si>
  <si>
    <t>https://elpais.com/espana/2022-06-05/espana-dispuesta-a-entregar-a-ucrania-misiles-antiaereos-y-carros-de-combate-leopard.html</t>
  </si>
  <si>
    <t>https://www.faz.net/aktuell/politik/inland/spanien-erwaegt-lieferung-deutscher-kampfpanzer-an-die-ukraine-18084152.html</t>
  </si>
  <si>
    <t>https://www.faz.net/aktuell/politik/waffen-fuer-die-ukraine-norwegen-liefert-haubitzen-18089553.html</t>
  </si>
  <si>
    <t>Shorad Aspide anti-aircraft missile</t>
  </si>
  <si>
    <t>SEH1</t>
  </si>
  <si>
    <t>Sweden</t>
  </si>
  <si>
    <t>Sweden decided to provide equipment that is necessary to repair Ukraine's energy grid. However, as no further information is provided, an in-kind valuation of this aid is not possible.</t>
  </si>
  <si>
    <t>https://government.se/press-releases/2022/04/sweden-supporting-ukraine-with-equipment-to-secure-the-countrys-energy-supply/</t>
  </si>
  <si>
    <t>SEH2</t>
  </si>
  <si>
    <t>until 5/4/2022</t>
  </si>
  <si>
    <t>Following "Source of Aid 1", Sweden has provided direct humanitarian aid to Ukraine worth 570 million SEK until May 4, 2022. Of this amount,we document 500 million EUR and 20 million EUR to support the International Committee of the Red Cross (ICRC) in Ukraine (both as of February 27). Furthermore, Sweden announced to assist Ukraine with equipment to secure the country's energy supply (April 22). We do not include the contribution of Sweden to UN organizations, including the Central Emergency Response Fund (CERF) and to the Red Cross Movement’s Disaster Relief Emergency Fund (DREF) (as listed in "Source of Aid 1"), since those international organisations are not explicitly active in Ukraine.</t>
  </si>
  <si>
    <t>SEK</t>
  </si>
  <si>
    <t>https://www.government.se/press-releases/2022/05/sweden-and-poland-co-host-international-donors-conference-to-support-ukrainian-people/#:~:text=Sweden%27s%20support%20to%20Ukraine&amp;text=Sweden%20is%20one%20of%20CERF%27s,SEK%2035%20million%20in%202022.</t>
  </si>
  <si>
    <t>https://www.government.se/articles/2022/03/sweden-planning-additional-support-to-ukraine-through-world-bank/#:~:text=Due%20to%20Russia's%20aggression%20against,to%20the%20growing%20humanitarian%20needs.</t>
  </si>
  <si>
    <t>https://government.se/press-releases/2022/05/sweden-and-poland-co-host-international-donors-conference-to-support-ukrainian-people/</t>
  </si>
  <si>
    <t>SEH3</t>
  </si>
  <si>
    <t>During the High-Level International Donor's Conference for Ukraine on May 5, 2022, Sweden announced to provide additional 230 million SEK, according to "Source of Aid 1", for humanitarian organisations active in Ukraine.</t>
  </si>
  <si>
    <t>https://www.government.se/articles/2022/05/sweden-and-poland-mobilised-humanitarian-support-for-ukraine/</t>
  </si>
  <si>
    <t>https://en.interfax.com.ua/news/general/829822.html</t>
  </si>
  <si>
    <t>https://www.news.az/news/sweden-pledges-additional-23-million-for-humanitarian-actions-in-ukraine</t>
  </si>
  <si>
    <t>SEH4</t>
  </si>
  <si>
    <t>As a part of the total package comprising 1 billion SEK, Sweden also announced to provide 100 million SEK for humanitarian purposes. According to "Source of Aid 1" this money is provided through the EU Civil Protection Mechanism on the one hand and to the UN on the other hand. As we cannot disentangle these two parts, we report the total sum. Note that SEM4 provides an overview of the remaining part of the package, comprising 900 million SEK.</t>
  </si>
  <si>
    <t>https://www.government.se/press-releases/2022/06/additional-amending-budget-with-further-support-to-ukraine/</t>
  </si>
  <si>
    <t>SEM1</t>
  </si>
  <si>
    <t>5,000 anti-tank weapons, 5,000 helmets, 5,000 body shields and 135,000 field rations of a value of 400 million SEK. "Source of Aid 1" also lists the 500 million SEK assistance to the Ukranian army reported in SEM2, and the 500 million SEK humanitarian assistance reported in SEH3.</t>
  </si>
  <si>
    <t>https://www.government.se/articles/2022/02/sweden-to-provide-direct-support-and-defence-materiel-to-ukraine/</t>
  </si>
  <si>
    <t xml:space="preserve">https://www.reuters.com/world/europe/sweden-send-military-aid-ukraine-pm-andersson-2022-02-27/ </t>
  </si>
  <si>
    <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t>
  </si>
  <si>
    <t>https://www.reuters.com/world/europe/sweden-provide-ukraine-with-5000-more-anti-tank-weapons-tt-news-agency-2022-03-23/</t>
  </si>
  <si>
    <t>AT4 anti-tank weapon</t>
  </si>
  <si>
    <t>SEM2</t>
  </si>
  <si>
    <t>Financial grant directed to the Armed Forces of Ukraine. "Source of Aid 2" also lists the aid package reported in SEM1 (military equipment worth 400 million SEK).</t>
  </si>
  <si>
    <t>https://ua.interfax.com.ua/news/general/807284.html</t>
  </si>
  <si>
    <t>SEM3</t>
  </si>
  <si>
    <t xml:space="preserve">Shipment of additional 5,000 anti-tank weapons and demining equipment. </t>
  </si>
  <si>
    <t>https://twitter.com/AnnLinde/status/1506663502865485844?msclkid=7276d96ab5d011ecb3f22619c3297e84</t>
  </si>
  <si>
    <t>https://www.armyrecognition.com/defense_news_march_2022_global_security_army_industry/sweden_to_provide_another_batch_of_5000_at4_anti-tank_weapons_to_ukraine.html</t>
  </si>
  <si>
    <t>https://www.ukrinform.net/rubric-ato/3500636-sweden-to-provide-ukraine-with-ag-90-antimateriel-sniper-rifles-at4-antitank-weapons.html</t>
  </si>
  <si>
    <t>SEM4</t>
  </si>
  <si>
    <t>"Source of Aid 1" lists several military in-kind donations as part of the total amount of 1 billion SEK that the government announced. Notice that this is divided into the following entries: 100 million SEK reflect humanitarian aid (see SEH3), 578 million SEK and 60 million SEK represent grants with military purpose (SEM5 and SEM6) and the remaining 262 million SEK out of the total package is allocated for Weapons and Equipment.</t>
  </si>
  <si>
    <t>https://twitter.com/AnnLinde/status/1532316643254226945?ref_src=twsrc%5Etfw%7Ctwcamp%5Etweetembed%7Ctwterm%5E1532316643254226945%7Ctwgr%5E%7Ctwcon%5Es1_&amp;ref_url=https%3A%2F%2Fmezha.media%2Fen%2F2022%2F06%2F03%2Frbs-17-swedish-short-range-anti-ship-missile%2F</t>
  </si>
  <si>
    <t>https://www.reuters.com/world/europe/sweden-supply-more-military-aid-including-anti-ship-missiles-ukraine-2022-06-02/</t>
  </si>
  <si>
    <t>RBS 17 anti-ship missile system</t>
  </si>
  <si>
    <t>AG 90 anti-materiel sniper rifle</t>
  </si>
  <si>
    <t>SEM5</t>
  </si>
  <si>
    <t>As part of the total package of 1 billion SEK ("Source of Aid 1"), Sweden announced to provide additional 578 million SEK as grant directed to the Armed Forces of Ukraine, with reference to an earlier grant of 500 million SEK (see "SEM2"). See also SEH4, SEM4, SEM6 for the other parts of the total 1 billion SEK package.</t>
  </si>
  <si>
    <t>SEM6</t>
  </si>
  <si>
    <t>As part of the total package of 1 billion SEK ("Source of Aid 1"), Sweden also announced to provide 60 million SEK as contribution to a NATO fund that aims to equip the Ukrainian Armed Forces ("Source of Aid 1"). See also SEH4, SEM4, SEM5 for the other parts of the total 1 billion SEK package.</t>
  </si>
  <si>
    <t>SEF1</t>
  </si>
  <si>
    <t>Sweden has contributed 50 million USD to the "FREE Ukraine Support Package". The latter is part of the Emergency Financing Package established by the World Bank and amounting to 723 million USD. Other countries have contributed to Emergency Financing Package: the Netherlands with 89 million USD, United Kingdom with 100 million USD, Denmark with 22 million USD, Latvia + Lithuania + Iceland with 12 million USD and Japan with 100 million USD.</t>
  </si>
  <si>
    <t>SEF2</t>
  </si>
  <si>
    <t xml:space="preserve">Loan guarantee in excess of 44 million EUR provided through the World Bank. </t>
  </si>
  <si>
    <t>https://twitter.com/SweMFA/status/1517445238142521346</t>
  </si>
  <si>
    <t>CHH1</t>
  </si>
  <si>
    <t>Switzerland</t>
  </si>
  <si>
    <t>Switzerland provided a total of 60 million CHF of direct in-kind humanitarian aid as well as financial aid to various humanitarian institutions in Ukraine and international organizations benefiting the people of Ukraine. There is no extensive list as to what amount went to which organization, other than the information that 60 million CHF are devoted directly to Ukraine (Reported in Source of Aid 4: three quarters of their total CHF 80 million budget; the remaining 20 million CHF are going to countries dealing with Ukrainian refugees including Poland and Moldova, which we do not include here as we measure direct support to Ukraine). To avoid underestimating the true extent of support to Ukraine, we include the entire amount of CHF 60 million as humanitarian aid.</t>
  </si>
  <si>
    <t>CHF</t>
  </si>
  <si>
    <t>https://www.admin.ch/gov/en/start/documentation/media-releases.msg-id-87488.html</t>
  </si>
  <si>
    <t>https://reliefweb.int/report/ukraine/switzerland-steps-humanitarian-aid-ukraine</t>
  </si>
  <si>
    <t>https://www.admin.ch/gov/en/start/documentation/media-releases.msg-id-87418.html</t>
  </si>
  <si>
    <t>https://www.swissinfo.ch/eng/switzerland-approves-chf80-million-in-emergency-aid-for-ukraine/47423096?utm_campaign=teaser-in-article&amp;utm_source=swissinfoch&amp;utm_content=o&amp;utm_medium=display</t>
  </si>
  <si>
    <t>TRM1</t>
  </si>
  <si>
    <t>Turkey</t>
  </si>
  <si>
    <t>On February 3, 2022, the President of Turkey and the Prime Minister of Ukraine signed an agreement on the co-production of Bakar Bayraktar TB2 armed drones​ in Ukrainian territory. Financial details remained undisclosed.</t>
  </si>
  <si>
    <t>Bayraktar TB2 drone</t>
  </si>
  <si>
    <t>https://nordicmonitor.com/2022/03/turkey-deployed-personnel-to-operate-armed-drones-in-targeting-russian-military/</t>
  </si>
  <si>
    <t>https://www.newyorker.com/magazine/2022/05/16/the-turkish-drone-that-changed-the-nature-of-warfare</t>
  </si>
  <si>
    <t>TRH1</t>
  </si>
  <si>
    <t>Turkey has reportedly provided a Humanitarian Aid convoy to Ukraine, carrying 1.536 food packages, 240 family tents, 1.680 blankets, 200 beds and 18 general purpose tents.</t>
  </si>
  <si>
    <t>food ration H</t>
  </si>
  <si>
    <t>https://twitter.com/AFADTurkey/status/1497633720068714497</t>
  </si>
  <si>
    <t>family tent</t>
  </si>
  <si>
    <t>TRH2</t>
  </si>
  <si>
    <t>Turkey has sent 43 trucks of humanitarian aid and a mobile food truck for the people of Ukraine. Given the lack of more specific information, the monetary value of the shipment cannot be calculated.</t>
  </si>
  <si>
    <t>https://twitter.com/AFADTurkey/status/1503080333205700608</t>
  </si>
  <si>
    <t>TRH3</t>
  </si>
  <si>
    <t>between 20/03/2022 and 7/1/2022</t>
  </si>
  <si>
    <t>Since March 20, the mobile food truck of the AFAD Türkyie (Ministry of Interior Disaster and Emergency Management Authority)  has been distributing hot meals in various Ukrainian cities, such as Borodyianka and Lviv. The value of the aid is not quantifiable.</t>
  </si>
  <si>
    <t> .</t>
  </si>
  <si>
    <t>https://twitter.com/AFADTurkiye/status/1537845513671917570?s=20&amp;t=s9akAL75RoX8Zs9Cn_sKtQ</t>
  </si>
  <si>
    <t>TWH1</t>
  </si>
  <si>
    <t>Taiwan</t>
  </si>
  <si>
    <t>Donation worth 3 million USD directed to humanitarian assistance in Kyiv.</t>
  </si>
  <si>
    <t>https://focustaiwan.tw/politics/202204220023</t>
  </si>
  <si>
    <t>TWH2</t>
  </si>
  <si>
    <t xml:space="preserve">Donation worth 5 million USD directed to six Ukrainian hospitals. </t>
  </si>
  <si>
    <t>TWH3</t>
  </si>
  <si>
    <t xml:space="preserve">Donation worth 2 million USD directed to Kharkiv. </t>
  </si>
  <si>
    <t>https://focustaiwan.tw/politics/202206030014</t>
  </si>
  <si>
    <t>TWH4</t>
  </si>
  <si>
    <t>Donation worth 500000 USD, directed to humanitarian assistance in Chernihiv.</t>
  </si>
  <si>
    <t>TWH5</t>
  </si>
  <si>
    <t>Donation worth 500000 USD, directed to humanitarian assistance in Mykolaiev.</t>
  </si>
  <si>
    <t>TWH6</t>
  </si>
  <si>
    <t>Donation worth 500000 USD, directed to humanitarian assistance in Sumy.</t>
  </si>
  <si>
    <t>TWH7</t>
  </si>
  <si>
    <t>Donation worth 500000 USD, directed to humanitarian assistance in Zaporizhzhia.</t>
  </si>
  <si>
    <t>TWH9</t>
  </si>
  <si>
    <t>Donation worth 500000 USD, directed to humanitarian assistance in Bucha. According to "Source of Aid 1", Taiwan has donated a total amount of 13,2 million USD (besides the 500000 USD newly committed to Bucha). Since we discard the 1,2 million USD donated to the Orthodox church for the reconstruction of churches in Ukraine, we only count 12 million USD (see TWH1 -TWH8).</t>
  </si>
  <si>
    <t>https://focustaiwan.tw/politics/202206200021</t>
  </si>
  <si>
    <t>UKH1</t>
  </si>
  <si>
    <t>United Kingdom</t>
  </si>
  <si>
    <t>Humanitarian assistance via equipment and grants.</t>
  </si>
  <si>
    <t>GBP</t>
  </si>
  <si>
    <t>https://www.gov.uk/government/news/pm-announces-further-humanitarian-aid-to-ukraine</t>
  </si>
  <si>
    <t>UKH2</t>
  </si>
  <si>
    <t>Humanitarian assistance via equipment and grants. Out of the 80 million GBP reported in "Source of Aid 1" we do not count 40 million GBP, since they have been allocated to international organisations which are not explicitly active in Ukraine (see "Source of Aid 3"). The 120 million GBP reported in "Source of Aid 1" are made out of the 80 million GBP (out of which we don't count the 40 million GBP to international organisations) reported in "Source of Aid 1", and of the the 40 million GBP in UKH1.</t>
  </si>
  <si>
    <t>https://reliefweb.int/report/ukraine/uk-pledges-another-80-million-aid-help-ukraine-deal-humanitarian-crisis</t>
  </si>
  <si>
    <t>https://www.gov.uk/government/news/uk-sets-out-new-multi-million-dollar-economic-package-of-support-for-ukraine</t>
  </si>
  <si>
    <t>https://www.gov.uk/government/news/uk-provides-further-humanitarian-aid-focused-on-most-vulnerable-in-ukraine</t>
  </si>
  <si>
    <t>UKH3</t>
  </si>
  <si>
    <t xml:space="preserve">Humanitarian assistance via equipment and grants. </t>
  </si>
  <si>
    <t>https://hit-logo-klingelton.com/uk-announces-additional-230-million-in-aid-for-ukraine/?msclkid=0f934a89cf8011ec82b90a2bac4d5bea</t>
  </si>
  <si>
    <t>UKH4</t>
  </si>
  <si>
    <t xml:space="preserve">10 million GBP civil society fund launched by the government, directed to organizations in Ukraine supporting civilians, including victims of conflict-related sexual violence. </t>
  </si>
  <si>
    <t>https://www.gov.uk/government/speeches/poland-foreign-secretarys-statement-to-warsaw-press-conference</t>
  </si>
  <si>
    <t>https://www.gov.uk/government/news/uk-government-and-nobel-prize-winner-launch-global-code-to-tackle-conflict-related-sexual-violence</t>
  </si>
  <si>
    <t>UKM1</t>
  </si>
  <si>
    <t>Anti-tank weaponry. The 88 million GBP are included in UKF1. "Source of Aid 1" does not specify the exact amount of anti-tank weaponry committed. However, "Source of Aid 2" mentions that on January 17 the defence secretary announced the intention of supplying 2,000 new light anti-tank weapons (NLAWs), along with small arms and ammunitions. We assume that the anti-tank weaponry committed towards the end of January consists of the 2,000 NLAW first mentioned on January 17.</t>
  </si>
  <si>
    <t>https://www.gov.uk/government/speeches/pm-statement-at-ukraine-press-conference-1-february-2022</t>
  </si>
  <si>
    <t>https://www.gov.uk/government/speeches/defence-secretary-statement-to-the-house-of-commons-on-ukraine-9-march-2022</t>
  </si>
  <si>
    <t>https://www.bbc.com/news/world-europe-61482305</t>
  </si>
  <si>
    <t>UKM2</t>
  </si>
  <si>
    <t>until 3/9/2022</t>
  </si>
  <si>
    <t>Lethal weapons.</t>
  </si>
  <si>
    <t>https://ukdefencejournal.org.uk/britain-sending-anti-aircraft-and-javelin-missiles-to-ukraine/</t>
  </si>
  <si>
    <t>UKM3</t>
  </si>
  <si>
    <t>Undisclosed number of Starstreak anti-aircraft missile systems. "Source of Aid 2" mentions also the 3,615 anti-tank systems reported in UKM1 and the Javelin weapons reported in UKM4.</t>
  </si>
  <si>
    <t>Starstreak anti-aircraft missile system</t>
  </si>
  <si>
    <t>https://www.reuters.com/world/europe/britain-exploring-donating-anti-air-missiles-ukraine-defence-minister-2022-03-09/</t>
  </si>
  <si>
    <t>https://www.thedefensepost.com/2022/03/10/uk-starstreak-missiles-ukraine/</t>
  </si>
  <si>
    <t>https://eurasiantimes.com/from-britain-with-love-uks-new-game-changing-missiles-to-ukraine-has-potential-to-turn-tables-on-belligerent-russia/</t>
  </si>
  <si>
    <t>UKM4</t>
  </si>
  <si>
    <t>Lethal weapons. "Source of Aid 1" states that the 4.1 million GBP and 25 million GBP reported in UKF1 are part of the package delivering the 6,000 defensive missiles. Thus, the source talks about providing 6,000 missiles along with "30 million pounds to support the BBC's coverage in the region and pay Ukrainian soldiers and pilots". "Source of Aid 2" also mentions the contribution to BBC and to the Ukrainian Armed Force reported in UKF1.</t>
  </si>
  <si>
    <t>defensive missile</t>
  </si>
  <si>
    <t>https://www.reuters.com/world/europe/uk-provide-6000-missiles-ukraine-new-support-2022-03-23/</t>
  </si>
  <si>
    <t>https://www.telegraph.co.uk/world-news/2022/03/24/ukraine-morning-briefing-five-developments-britain-agrees-send/</t>
  </si>
  <si>
    <t>UKM5</t>
  </si>
  <si>
    <t>Anti-tank missiles and an undisclosed number of anti-aircraft Starstreak Missiles, additional to the aid specified in UKM1, UKM2 and UKM3 (see "we are more than doubling our support with a further 6,000 missiles [...] and we are now equipping our Ukrainian friends with anti-aircraft Starstreak missiles", "Source of Aid 1"). "Source of Aid 1" mentions also the 2 million GBP in food which are part of UKH1. "Source of Aid 1" talks also about 220 million GBP in humanitarian aid, which we do not report because this flow is directed to international organizations including the UN Refugee Agency (UNHCR - 25 million GBP), the UN Office for Coordination of Humanitarian Affairs (OCHA - 20 million GBP), and the International Federation of Red Cross and Red Crescent Societies (10 million GBP). "Source of Aid 2" lists as well the 4.1 million GBP supporting the BBC World Service and the 25 million GBP directed to the Ukrainian Military, reported in UKF4. The 4 million items of medical equipment are reported in UKH1. Finally, the 1 million GBP mentioned at the end of "Source of Aid 2" is directed to the court of Hague and, hence, is not included in our dataset.</t>
  </si>
  <si>
    <t>missile (including NLAWs and Javelin anti-tank weapons)</t>
  </si>
  <si>
    <t>https://www.gov.uk/government/speeches/ukraine-foreign-secretary-statement-to-parliament-28-march-2022</t>
  </si>
  <si>
    <t>https://www.gov.uk/government/news/pm-announces-major-new-military-support-package-for-ukraine-24-march-2022</t>
  </si>
  <si>
    <t>https://www.forces.net/technology/weapons-and-kit/latest-military-aid-being-sent-ukraine-west</t>
  </si>
  <si>
    <t>anti-aircraft Starstreak missile</t>
  </si>
  <si>
    <t>Undisclosed</t>
  </si>
  <si>
    <t>UKM6</t>
  </si>
  <si>
    <t>100 million GBP package of weapons and equipment. This package comes in addition to the so far committed 350 million GBP military assistance (identifiers UKM1 - UKM4) and 400 million GBP humanitarian assistance (identifiers UKH1 - UKH4). We do not include in our dataset the 1.5 billion GBP collected through the first Donor Conference, since this sum represents assistance provided by the international community and not only by the UK itself. According to "Source of delivery", "more than 200" Javelins have been sent. In order to quantify the value, we report 201 delivered Javelins. According to "Source of deliry", "thousands of night vision devices have been sent. In order to quantify their monetary value, we report "2000".</t>
  </si>
  <si>
    <t>https://www.gov.uk/government/news/uk-to-bolster-defensive-aid-to-ukraine-with-new-100m-package</t>
  </si>
  <si>
    <t>https://www.gov.uk/government/speeches/pm-opening-remarks-at-press-conference-with-german-chancellor-olaf-scholz-8-april-2022</t>
  </si>
  <si>
    <t>https://www.gov.uk/government/news/prime-minister-pledges-uks-unwavering-support-to-ukraine-on-visit-to-kyiv-9-april-2022</t>
  </si>
  <si>
    <t>loitering munition</t>
  </si>
  <si>
    <t>UKM7</t>
  </si>
  <si>
    <t>120 armored vehicles and new anti-ship missiles systems, in addition to the 100 million GBP offered on April 8 (UKM6). The 500 million GBP through the World Bank is reported in UKF2. However, we could not find any information on the destination and nature of the previously disbursed 394 million GBP, hence, we do not include them.</t>
  </si>
  <si>
    <t>Mastiff 6x6</t>
  </si>
  <si>
    <t>https://edition.cnn.com/2022/04/09/europe/ukraine-uk-boris-johnson-intl-gbr/index.html</t>
  </si>
  <si>
    <t>anti-ship missile system</t>
  </si>
  <si>
    <t>UKM8</t>
  </si>
  <si>
    <t>19/05/2022</t>
  </si>
  <si>
    <t>Shipment of a small undisclosed amount of Stromer armoured vehicles.</t>
  </si>
  <si>
    <t>Stromer armoured vehicle</t>
  </si>
  <si>
    <t>https://www.reuters.com/business/aerospace-defense/britain-send-stormer-armoured-vehicles-ukraine-2022-04-25/</t>
  </si>
  <si>
    <t>UKM9</t>
  </si>
  <si>
    <t>BUDGET DRAWDOWN: Military aid amounting to 1.3 billion GBP in total, which includes, among other equipment, the 300 million GBP worth military kit announced on May 5. This comes on top of the previous commitments worth 1.5 billion GBP ("Source of Aid 1"), which include the humanitarian aid reported in our dataset, assistance directed to international organizations not explicitly active inside Ukraine and thus not included, and the loan of 730 million GBP committed through the World Bank (see UKF5). We reported 2000 units of delivered devices, since the "Source of delivery" reports "thousands" of units sent. We also reported "200" units of Brimstone-1 missile as sent, since "Source of delivery" reports "hundreds".  Besides the weapons, the Prime Minister has offered to launch a major training operation for Ukrainian forces, with the potential to train up to 10,000 soldiers every 120 days.</t>
  </si>
  <si>
    <t>https://www.gbnews.uk/news/uk-pledges-13-billion-in-support-for-ukraines-fight-against-putins-russia/288926</t>
  </si>
  <si>
    <t>https://inews.co.uk/news/brimstone-missile-what-uk-plans-long-range-weapons-ukraine-how-work-explained-1607595</t>
  </si>
  <si>
    <t xml:space="preserve">https://www.bbc.com/news/world-europe-61482305 </t>
  </si>
  <si>
    <t>heavy transport drone</t>
  </si>
  <si>
    <t>dozens</t>
  </si>
  <si>
    <t>GPS jamming equipment</t>
  </si>
  <si>
    <t>Brimstone-1 missile</t>
  </si>
  <si>
    <t>M270 weapon system</t>
  </si>
  <si>
    <t>https://www.gov.uk/government/news/uk-to-gift-multiple-launch-rocket-systems-to-ukraine</t>
  </si>
  <si>
    <t>M31A1 munition</t>
  </si>
  <si>
    <t>until 6/17/2022</t>
  </si>
  <si>
    <t>155mm Howitzer</t>
  </si>
  <si>
    <t>https://www.gov.uk/government/news/uk-to-offer-major-training-programme-for-ukrainian-forces-as-prime-minister-hails-their-victorious-determination</t>
  </si>
  <si>
    <t>UKM10</t>
  </si>
  <si>
    <t>BUDGET DRAWDOWN: Additional pledge of 1,2 billion GBP in military support to Ukraine, announced on the final day of the NATO Summit.</t>
  </si>
  <si>
    <t>https://www.bbc.com/news/uk-61990479</t>
  </si>
  <si>
    <t>UKF1</t>
  </si>
  <si>
    <t>88 million GBP to support good governance and energy independence in Ukraine.</t>
  </si>
  <si>
    <t>UKF2</t>
  </si>
  <si>
    <t>500 million GBP in loans to support Ukraine in response of Russia's aggression. We do not report in our dataset the 3.5 billion GBP committed prior to January 24, 2022.</t>
  </si>
  <si>
    <t>UKF3</t>
  </si>
  <si>
    <t>The United Kingdom has contributed 74 million GBP to the Multi donor trust fund set up by the World Bank to facilitate financial support to Ukraine. This fund is part of the emergency financing package established by the World Bank (worth a total of 723 million USD). Other countries have contributed to this emergency financing package: the Netherlands with 89 million USD, Sweden with 50 million USD, Denmark with 22 million USD, Latvia + Lithuania + Iceland with 12 million USD and Japan with 100 million USD. We report the 730 million GBP in financial guarantees through the World Bank in UKF5 and the 320 million GBP in UKF6 (both were mentioned in "Source of Aid 2").</t>
  </si>
  <si>
    <t>https://www.gov.uk/government/publications/world-bank-spring-meetings-2022-uk-governors-statement/world-bank-spring-meetings-2022-uk-governors-statement</t>
  </si>
  <si>
    <t>UKF4</t>
  </si>
  <si>
    <t>4.1 million GBP supporting the BBC World Service and 25 million GBP financial support for the Ukrainian Military. "Source of Aid 1" mentions as well that the United Kingdom has provided so far over 4,000 anti-tank weapons, this number is included in UKM1, UKM2 and UKM3. The 4 million items of medical equipment are reported in UKH1. Finally, the 1 million GBP mentioned at the end of "Source of Aid 1" is directed to the court of Hague and, hence, is not included in our dataset. "Source of Aid 2" mentions as well the 6,000 missiles reported in UKM4.</t>
  </si>
  <si>
    <t>https://www.wsj.com/livecoverage/russia-ukraine-latest-news-2022-03-24/card/u-k-to-send-extra-missiles-to-ukraine-prime-minister-says-wVycdL1VQIo91y4wGFxo</t>
  </si>
  <si>
    <t>UKF5</t>
  </si>
  <si>
    <t>World Bank lending through loan guarantees.</t>
  </si>
  <si>
    <t>UKF6</t>
  </si>
  <si>
    <t xml:space="preserve">Grant aid amounting to a total of 394 million GBP and including also the contribution of 74 million GBP to the Multi Donor Trust Fund of the Word Bank (mentioned in UKF3). Here, we subtract the 74 million USD and only report the remaining amount. We report the 730 million GBP in loan guarantees through the World Bank in UKF5. </t>
  </si>
  <si>
    <t>UKF7</t>
  </si>
  <si>
    <t xml:space="preserve">Committment of the UK from the London-based European Bank of Reconstruction and Development. It remains unclear, whether the commitment will be disbursed in form of grants or loans. The 950 million USD in loan guarantees mentioned in "Source of Aid 1" are reported in UKF5. </t>
  </si>
  <si>
    <t>https://apnews.com/article/russia-ukraine-janet-yellen-christian-lindner-91b5272f3c3381f340c6916653ddfa6a</t>
  </si>
  <si>
    <t>USH1</t>
  </si>
  <si>
    <t>United States</t>
  </si>
  <si>
    <t>The aid, almost equally funded by the Department of State (26 million USD) and the U.S. Agency for International Development (28 million USD) amounts to 54 million USD. No further information regarding the involved international organizations has been disclosed.</t>
  </si>
  <si>
    <t>https://www.state.gov/the-united-states-announces-additional-humanitarian-assistance-for-the-people-of-ukraine/</t>
  </si>
  <si>
    <t>https://www.usaid.gov/news-information/press-releases/mar-10-2022-united-states-announces-additional-humanitarian-assistance?msclkid=fc0f8e8dae8611ecaad8dc70eab615cc</t>
  </si>
  <si>
    <t>USH2</t>
  </si>
  <si>
    <t xml:space="preserve">The aid, funded by the U.S. Agency for International Development, will be used for humanitarian assistance for Ukrainian refugees and, in particular, to support World Food Programme’s logistics operations to move assistance into Ukraine, including to people in Kyiv. </t>
  </si>
  <si>
    <t>https://www.whitehouse.gov/briefing-room/statements-releases/2022/03/10/vice-president-kamala-harris-announces-additional-u-s-funding-to-respond-to-humanitarian-needs-in-ukraine-and-eastern-europe/</t>
  </si>
  <si>
    <t>https://www.whitehouse.gov/briefing-room/speeches-remarks/2022/03/10/corrected-remarks-by-vice-president-harris-and-president-andrzej-duda-of-poland-in-joint-press-conference/</t>
  </si>
  <si>
    <t>USH3</t>
  </si>
  <si>
    <t>3.446 billion USD for humanitarian assistance directed to Ukraine. The aid includes 2.799 billion USD for the U.S. Agency for International Development (USAID) and 647 million USD for the Economic Support Fund for Ukraine. This is part of a larger aid worth 13.603 billion USD in total, from which 6.221 billion USD are accountable to humanitarian assistance. We do not include humanitarian assistance to other countries in support of Ukrainian refugees or to international organizations that are active outside the Ukrainian territory (a total of 2.775 billion USD) as this is not direct aid to Ukraine. Also, the part of the aid package related to military assistance, included in the 13.603 billion USD and amounting to 7.181 billon USD in total, is reported in USM1. Next to the above military and humanitarian aid, we do not count the provisions for US internal affairs that are part of the 13.603 billion USD package. The USAID announcement of humanitarian aid worth 378 million USD reported in "Source of Aid 3" is included in the 3.446 billion USD.</t>
  </si>
  <si>
    <t>https://www.whitehouse.gov/briefing-room/press-briefings/2022/03/15/press-briefing-by-press-secretary-jen-psaki-march-15-2022/</t>
  </si>
  <si>
    <t>https://appropriations.house.gov/sites/democrats.appropriations.house.gov/files/Ukraine%20Supplemental%20Summary.pdf</t>
  </si>
  <si>
    <t>https://twitter.com/USAIDUkraine/status/1522237212334641152</t>
  </si>
  <si>
    <t>USH4</t>
  </si>
  <si>
    <t>Undisclosed amount of antiretroviral drugs, re-purposing of mobile HIV testing vans, and expanded support to patients and home delivery of medicines.</t>
  </si>
  <si>
    <t>https://www.whitehouse.gov/briefing-room/statements-releases/2022/03/24/fact-sheet-the-biden-administration-announces-new-humanitarian-development-and-democracy-assistance-to-ukraine-and-the-surrounding-region/</t>
  </si>
  <si>
    <t>https://americanews.news/fact-sheet-the-biden-administration-announces-new-humanitarian-development-and-democracy-assistance-11404.html</t>
  </si>
  <si>
    <t>USH5</t>
  </si>
  <si>
    <t>320 million USD to support media freedom and counter disinformation in Ukraine and neighboring countries. This is in addition to the aid porvided to refugees (which we do not include in our dataset since it is not a direct flow to Ukraine), in addition to the 1 billion humanitarian aid which the United States will be ready to provide (see identifier USH6) and in addition to the 6.1 million USD for medical equipment (see identifier USH4). We do not consider in our dataset the 11 billion USD directed to counter hunger around the world, since it is not a direct flow to Ukraine.</t>
  </si>
  <si>
    <t>USH6</t>
  </si>
  <si>
    <t>Additional humanitarian aid, announced during the G7 conference on March 24, 2022, and confirmed during the press conference of the March 29, 2022, in the White House.</t>
  </si>
  <si>
    <t>https://www.whitehouse.gov/briefing-room/press-briefings/2022/03/29/press-briefing-by-director-of-communications-kate-bedingfield/</t>
  </si>
  <si>
    <t>https://www.whitehouse.gov/briefing-room/speeches-remarks/2022/03/26/remarks-by-president-biden-on-the-united-efforts-of-the-free-world-to-support-the-people-of-ukraine/</t>
  </si>
  <si>
    <t>USH7</t>
  </si>
  <si>
    <t>Emergency food assistance. The aid is part of a bigger package from May 10, 2022, the Additional Ukraine Supplemental Act 2022, that provides a total amount of 4.7 billion USD in direct humanitarian assistance to Ukraine and neighboring countries (see also USH8 and USH9), financial assistance of 8.506 billion USD (see also USF4 and USF5) and military assistance of 21.1 billion USD to Ukraine and neighboring countries (see USM5-USM8). We do not include the remaining part of the overall package signed on May 10 as it is not directly targeted at Ukraine.</t>
  </si>
  <si>
    <t>https://appropriations.house.gov/sites/democrats.appropriations.house.gov/files/Additional%20Ukraine%20Suplemental%20Appropriations%20Act%20Summary.pdf</t>
  </si>
  <si>
    <t>USH8</t>
  </si>
  <si>
    <t>Technical and regulatory support to Ukraine’s nuclear regulatory agency. The aid is part of a bigger package from May 10, 2022, the Additional Ukraine Supplemental Act 2022, that provides a total amount of 4.52 billion USD in direct humanitarian assistance to Ukraine and neighboring countries (see also USH7 and USH9), financial assistance of 8.506 billion USD (see also USF4 and USF5) and military assistance of 21.1 billion USD to Ukraine and neighboring countries (see USM5-USM8). We do not include the remaining part of that overall package signed on May 10 as it is not directly targeted at Ukraine.</t>
  </si>
  <si>
    <t>USH9</t>
  </si>
  <si>
    <t xml:space="preserve">Global Agriculture and Food Security Program to support countries including Ukraine, weather impacts from rising food prices. The aid is part of a bigger package from May 10, 2022, the Additional Ukraine Supplemental Act 2022, that provides a total amount of 4.52 billion USD in direct humanitarian assistance to Ukraine and neighboring countries (see also USH7 and USH8), financial assistance of 8.506 billion USD (see also USF4 and USF5) and military assistance of 21.1 billion USD to Ukraine and neighboring countries (see USM5-USM8). We do not include the remaining part of that overall package signed on May 10 since it is not directly targeted at Ukraine.
</t>
  </si>
  <si>
    <t>USM1</t>
  </si>
  <si>
    <t xml:space="preserve">Both lethal and non-lethal weapons and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</si>
  <si>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https://www.defense.gov/News/Releases/Release/Article/3007664/fact-sheet-on-us-security-assistance-for-ukraine-roll-up-as-of-april-21-2022/</t>
  </si>
  <si>
    <t>https://www.defense.gov/News/News-Stories/Article/Article/2955960/us-provided-more-than-1-billion-in-security-assistance-to-ukraine-in-past-year/</t>
  </si>
  <si>
    <t>Weapons and training</t>
  </si>
  <si>
    <t xml:space="preserve">Equipment and, specifically, an undisclosed number of Javelin anti-tank missiles and Stinger anti-aircraft missiles, approved through Presidential Drawdown Authority. No further information regarding the amounts has been disclosed.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</si>
  <si>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Weapons and Assistance</t>
  </si>
  <si>
    <t xml:space="preserve">Lethal and non-lethal weapons,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All items listed in this entry have been sent, teherefore we report the total value given by donor instead of our own estimates in our "total monetary value delivered column). </t>
  </si>
  <si>
    <t>https://www.thedefensepost.com/2022/04/19/us-arms-arrive-ukraine/</t>
  </si>
  <si>
    <t>Javelin</t>
  </si>
  <si>
    <t>AT-4 anti-armor system</t>
  </si>
  <si>
    <t>Tactical unmanned aerial system</t>
  </si>
  <si>
    <t>pistol</t>
  </si>
  <si>
    <t>machine gun</t>
  </si>
  <si>
    <t>shotgun</t>
  </si>
  <si>
    <t>round of small arms ammunitions, grenade launchers and mortar rounds</t>
  </si>
  <si>
    <t>800 million USD in weapons, ammunitions and security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</si>
  <si>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https://www.19fortyfive.com/2022/04/switchblade-the-drone-giving-ukraine-a-big-edge-against-russia/</t>
  </si>
  <si>
    <t>https://www.aa.com.tr/en/americas/us-says-vast-majority-of-howitzers-has-arrived-in-ukraine/2581253</t>
  </si>
  <si>
    <t>artillery round</t>
  </si>
  <si>
    <t>AN/TPQ-36 counter-artillery radar</t>
  </si>
  <si>
    <t>AN/MPQ-64 Sentinel air surveillance radar</t>
  </si>
  <si>
    <t>Switchblade tactical unmanned aerial system</t>
  </si>
  <si>
    <t>https://defensereview.com/aevex-aerospace-phoenix-ghost-secretive-suicide-kamikaze-drone-aircraft-being-shipped-to-ukraine-to-help-fight-the-russians/</t>
  </si>
  <si>
    <t>https://www.npr.org/2022/05/03/1096398193/retired-colonel-on-the-rise-of-javelin-missiles-as-biden-seeks-to-aid-ukraine</t>
  </si>
  <si>
    <t>anti-armor system</t>
  </si>
  <si>
    <t>armored high mobility multipurpose wheeled vehicle</t>
  </si>
  <si>
    <t>Mi-17 helicopter</t>
  </si>
  <si>
    <t>https://defence-blog.com/ukraine-receives-first-mi-17-helicopters-from-us/ and https://twitter.com/ukraine_world/status/1538181895892176897</t>
  </si>
  <si>
    <t>coastal defense vessel</t>
  </si>
  <si>
    <t>optic</t>
  </si>
  <si>
    <t>C-4 explosives and demolition equipment for obstacle clearing</t>
  </si>
  <si>
    <t>M18A1 Claymore anti-personnel munitions configured to be consistent with the Ottawa Convention</t>
  </si>
  <si>
    <t>100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</si>
  <si>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800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</si>
  <si>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https://www.legion.org/news/255649/more-half-90-us-howitzers-bound-ukraine-now-delivered</t>
  </si>
  <si>
    <t>https://nationalinterest.org/blog/buzz/us-phoenix-ghost-drones-are-helping-ukraine-take-fight-russia-202249</t>
  </si>
  <si>
    <t>https://coffeeordie.com/m777-howitzers-ukraine/#:~:text=More%20than%20100%20M777%20howitzers,according%20to%20the%20Defense%20Department.</t>
  </si>
  <si>
    <t>Tactical vehicle to tow 155mm howitzer</t>
  </si>
  <si>
    <t>Phoenix Ghost tactical unmanned aerial system</t>
  </si>
  <si>
    <t>partially</t>
  </si>
  <si>
    <t>https://www.19fortyfive.com/2022/05/putin-is-mad-u-s-begins-delivering-new-phoenix-ghost-drones-to-ukraine/</t>
  </si>
  <si>
    <t>field equipment</t>
  </si>
  <si>
    <t>Additional artillery ammunitions, radars and other equipment.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</si>
  <si>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https://www.whitehouse.gov/briefing-room/statements-releases/2022/05/06/statement-by-president-joe-biden-on-additional-security-assistance-to-ukraine/</t>
  </si>
  <si>
    <t>https://www.defense.gov/News/Releases/Release/Article/3023667/pentagon-press-secretary-statement-on-150-million-in-additional-security-assist/</t>
  </si>
  <si>
    <t>https://www.kyivpost.com/ukraine-politics/after-all-the-foreign-artillery-deliveries-why-is-ukraine-demanding-more-and-better-guns.html</t>
  </si>
  <si>
    <t>Electronic jamming equipment</t>
  </si>
  <si>
    <t>spare parts</t>
  </si>
  <si>
    <t>https://www.defense.gov/News/News-Stories/Article/Article/3038121/additional-100-million-in-howitzers-tactical-vehicles-radars-headed-to-ukraine/source/additional-100-million-in-howitzers-tactical-vehicles-radars-headed-to-ukraine/</t>
  </si>
  <si>
    <t>https://frontnews.eu/en/news/details/31081</t>
  </si>
  <si>
    <t>USM2</t>
  </si>
  <si>
    <t xml:space="preserve">650 million USD to the Foreign Military Financing Program of the US, which will provide grants or financial loans to Ukraine or NATO allies for the purchase of weapons and defense equipment made in US. Here, we report the purchase of 165 million USD in non standard ammuniton. Upcoming Purchases financed under the Foreign Military Financing Program and made after May 21 are reported in USM6.  </t>
  </si>
  <si>
    <t>152 mm round for 2A36 Giatsint</t>
  </si>
  <si>
    <t>https://www.dsca.mil/press-media/major-arms-sales/ukraine-non-standard-ammunition</t>
  </si>
  <si>
    <t>152 mm round for D-20 cannon</t>
  </si>
  <si>
    <t>VOG-17 automatic grenade launcher AGS-17</t>
  </si>
  <si>
    <t>122 mm mortar round (non-NATO)</t>
  </si>
  <si>
    <t>122 round for 2S1 Gvodzika</t>
  </si>
  <si>
    <t>BM-21 GRAD Rocket</t>
  </si>
  <si>
    <t>300 mm round/rocket for MLRS "Smerch"</t>
  </si>
  <si>
    <t>VOG-25 grenade for under barrel grenade launcher GP-25</t>
  </si>
  <si>
    <t>82 mm mortar round</t>
  </si>
  <si>
    <t>125 mm HE ammunition for T-72</t>
  </si>
  <si>
    <t>152 mm round for 2A65 Msta</t>
  </si>
  <si>
    <t>USM3</t>
  </si>
  <si>
    <t>Provision for Civilian Security Assistance.</t>
  </si>
  <si>
    <t>https://www.state.gov/100-million-in-new-u-s-civilian-security-assistance-for-ukraine/</t>
  </si>
  <si>
    <t>https://pl.usembassy.gov/civilian_security_assistance/</t>
  </si>
  <si>
    <t>USM4</t>
  </si>
  <si>
    <t xml:space="preserve">BUDGET DRAWDOWN: 700 million USD in lethal weapons and equipment, approved through Presidential Drawdown Authority on June 6.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t>
  </si>
  <si>
    <t>HIMARS 142 multiple rocket launcher</t>
  </si>
  <si>
    <t>https://www.defense.gov/News/Releases/Release/Article/3049472/700-million-in-additional-security-assistance-for-ukraine/</t>
  </si>
  <si>
    <t>https://www.theguardian.com/world/2022/jun/01/himars-what-are-the-advanced-rockets-us-is-sending-ukraine</t>
  </si>
  <si>
    <t>https://www.thequint.com/news/world/m142-himars-rocket-system-united-states-ukraine-russia</t>
  </si>
  <si>
    <t>https://www.nytimes.com/2022/07/01/us/politics/himars-weapons-ukraine.html#:~:text=On%20June%2023%2C%20Ukraine's%20defense,one%20for%20some%20of%20them.%E2%80%9D</t>
  </si>
  <si>
    <t>Guided Multiple Launch Rocket System round</t>
  </si>
  <si>
    <t>https://www.defensenews.com/pentagon/2022/06/01/us-will-send-himars-precision-rockets-to-ukraine/</t>
  </si>
  <si>
    <t>air-surveillance radar US</t>
  </si>
  <si>
    <t>1.000.00</t>
  </si>
  <si>
    <t>Javelin command launch unit</t>
  </si>
  <si>
    <t>anti-armor weapon</t>
  </si>
  <si>
    <t>6.000.00</t>
  </si>
  <si>
    <t>155mm artillery round</t>
  </si>
  <si>
    <t>15.000.00</t>
  </si>
  <si>
    <t>https://twitter.com/ukraine_world/status/1538181895892176897</t>
  </si>
  <si>
    <t>tactical vehicle</t>
  </si>
  <si>
    <t>spare part and equipment</t>
  </si>
  <si>
    <t>BUDGET DRAWDOWN: 350 million USD in lethal weapons and equipment, approved through Presidential Drawdown Authority on June 17.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According to "Source of Aid 3", so far in FY2022, DoD has provided $950 million in security assistance to Ukraine under the Ukraine Security Assistance Initiative (USAI). This is in line with our narrative on the budgeting of the USAI.</t>
  </si>
  <si>
    <t>https://www.defense.gov/News/Releases/Release/Article/3066864/fact-sheet-on-us-security-assistance-to-ukraine/</t>
  </si>
  <si>
    <t>https://www.cnbc.com/2022/06/15/biden-to-send-another-1-billion-in-military-aid-to-ukraine-.html</t>
  </si>
  <si>
    <t>https://www.state.gov/u-s-security-cooperation-with-ukraine/</t>
  </si>
  <si>
    <t>ammunition for HIMARS</t>
  </si>
  <si>
    <t>Tactical vehicle</t>
  </si>
  <si>
    <t>BUDGET DRAWDOWN: 450 million USD in lethal weapons and equipment, approved through Presidential Drawdown Authority on June 23.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According to "Source of Aid 3", so far in FY2022, DoD has provided $950 million in security assistance to Ukraine under the Ukraine Security Assistance Initiative (USAI). This is in line with our narrative on the budgeting of the USAI.</t>
  </si>
  <si>
    <t>https://www.defense.gov/News/News-Stories/Article/Article/3072692/president-authorizes-another-450-million-drawdown-to-support-ukraine/</t>
  </si>
  <si>
    <t>round of 105 mm ammunition</t>
  </si>
  <si>
    <t>coastal  and riverine patrol boat</t>
  </si>
  <si>
    <t xml:space="preserve">BUDGET DRAWDOWN: 50 million USD spent in ammunition for HIMARS;, approved through Presidential Drawdown Authority on June 23.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The remaining 770 million USD of "Source of Aid 1" are reported in USM5. </t>
  </si>
  <si>
    <t>https://www.defense.gov/News/Releases/Release/Article/3081993/820-million-in-additional-security-assistance-for-ukraine/</t>
  </si>
  <si>
    <t>USM5</t>
  </si>
  <si>
    <t xml:space="preserve">BUDGET DRAWDOWN: 300 million USD in security assistance. Unlike Presidential Drawdowns, USAI is an authority under which the U.S. procures capabilities from industry rather than delivering equipment that is drawn down from DoD stocks. This announcement represents the beginning of a contracting process to provide new capabilities to Ukraine’s Armed Forces.
We report it as included in  aid the budget for the USAI (Ukraine Security Assistance Initiative) approved on May 21, 2022, namely the Additional Ukraine Supplemental Act 2022. </t>
  </si>
  <si>
    <t>laser-guided rocket system</t>
  </si>
  <si>
    <t>https://www.defense.gov/News/Releases/Release/Article/2987119/defense-department-announces-300-million-in-additional-assistance-for-ukraine/#:~:text=Through%20USAI%2C%20DoD%20will%20provide,repel%20Russia's%20war%20of%20choice</t>
  </si>
  <si>
    <t>https://www.whitehouse.gov/briefing-room/press-briefings/2022/04/04/press-briefing-by-press-secretary-jen-psaki-and-national-security-advisor-jake-sullivan/</t>
  </si>
  <si>
    <t>Switchblade Tactical Unmanned Aerial System</t>
  </si>
  <si>
    <t>Puma unmanned aerial system</t>
  </si>
  <si>
    <t>https://defence-blog.com/ukraine-receives-rq-20-unarmed-aerial-vehicles-donated-by-us/</t>
  </si>
  <si>
    <t>counter-unmanned aerial system</t>
  </si>
  <si>
    <t>https://twitter.com/UAWeapons/status/1531282230760378369</t>
  </si>
  <si>
    <t>small-to-large caliber nonstandard ammunition</t>
  </si>
  <si>
    <t>Tactical secure communications system</t>
  </si>
  <si>
    <t>non-standard machine gun</t>
  </si>
  <si>
    <t>commercial satellite imagery service</t>
  </si>
  <si>
    <t>Weapons, equipment and assistance</t>
  </si>
  <si>
    <t>BUDGET DRAWDOWN: Tranche of aid financed through the budget for the USAI (Ukraine Security Assistance Initiative), which provides military support, logistic and equipment to Ukraine. The aid is part of a bigger package from May 21,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 and USM7-USM8). We do not include the remaining part of that overall package signed on May 21, 2022, since it is not directly targeted at Ukraine.</t>
  </si>
  <si>
    <t>Weapons and Equipment</t>
  </si>
  <si>
    <t>BUDGET DRAWDOWN: Tranche of aid amounting to 770 USD, financed through the budget for the USAI (Ukraine Security Assistance Initiative), which provides military support, logistic and equipment to Ukraine. The aid is part of a bigger package from May 21,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 and USM7-USM8). We do not include the remaining part of that overall package signed on May 21, 2022, since it is not directly targeted at Ukraine. The remaining 50 million USD are reported in USM4.</t>
  </si>
  <si>
    <t>National Advanced Surface-to-Air Missile System (NASAMS)</t>
  </si>
  <si>
    <t>USM6</t>
  </si>
  <si>
    <t>BUDGET DRAWDOWN: Additional budget for the Foreign Military Financing program amounting to 4 billion USD in total, which will provide grants and financial loans to Ukraine and neighboring countries for the purchase of weapons and defense equipment made in US. The aid is part of a bigger package from May 21, 2022: the Additional Ukraine Supplemental Act 2022, that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USM5-USM6 and USM8). We do not include the remaining part of that overall package from May 10, 2022, since it is not directly targeted to Ukraine. in USM6, we list the purchases financed with the Program (similar to USM2). At first, we report the purchase of boats and radars announced on June 17, whose monetary value given by the source amounts to 600 million USD (See "Source of Aid 2").</t>
  </si>
  <si>
    <t>Mark VI Patrol boat</t>
  </si>
  <si>
    <t>https://www.dsca.mil/press-media/major-arms-sales/ukraine-mark-vi-patrol-boats</t>
  </si>
  <si>
    <t>MSI Seahawk A2 gun system</t>
  </si>
  <si>
    <t>Electro-Optics-Infrared Radar (FLIR)</t>
  </si>
  <si>
    <t>Long Range Acoustic Device (LRAD) 5km loudspeaker system</t>
  </si>
  <si>
    <t>Identification Friend and Foe system</t>
  </si>
  <si>
    <t>MK44 cannon</t>
  </si>
  <si>
    <t>USM7</t>
  </si>
  <si>
    <t>Funding for nonproliferation, anti-terrorism, demining and related programs to protect against chemical, biological, radiological, and nuclear incidents and expand demining programs in Ukraine.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USM5-USM7). We do not include the remaining part of that overall package from May 10, 2022, since it is not directly targeted to Ukraine.</t>
  </si>
  <si>
    <t>USF1</t>
  </si>
  <si>
    <t>Loan guarantee of up to 1 billion USD. We do not take into account the military assistance amounting to 650 million USD (from "Source of Aid 1") since it was committed before January 24, 2022.</t>
  </si>
  <si>
    <t>https://www.whitehouse.gov/briefing-room/speeches-remarks/2022/02/18/remarks-by-president-biden-providing-an-update-on-russia-and-ukraine-2/</t>
  </si>
  <si>
    <t>USF2</t>
  </si>
  <si>
    <t xml:space="preserve">500 million USD of direct budgetary aid, to pay salaries and maintain government services. As stated by "Source of Aid 2", the money will go to the World Bank's Multi-Donor Trust Fund for Ukraine (MDTF). </t>
  </si>
  <si>
    <t>https://www.whitehouse.gov/briefing-room/statements-releases/2022/03/30/readout-of-president-bidens-call-with-president-zelenskyy-of-ukraine-8/</t>
  </si>
  <si>
    <t>https://www.usaid.gov/news-information/press-releases/apr-20-2022-united-states-contributes-500-million-world-bank-multi-donor-trust</t>
  </si>
  <si>
    <t>https://www.whitehouse.gov/briefing-room/statements-releases/2022/03/30/press-briefing-by-communications-director-kate-bedingfield/</t>
  </si>
  <si>
    <t>USF3</t>
  </si>
  <si>
    <t>500 million USD loan for direct economic assistance.</t>
  </si>
  <si>
    <t>https://www.whitehouse.gov/briefing-room/speeches-remarks/2022/04/21/remarks-by-president-biden-providing-an-update-on-russia-and-ukraine-3/</t>
  </si>
  <si>
    <t>https://www.whitehouse.gov/briefing-room/statements-releases/2022/04/21/readout-of-president-bidens-meeting-with-prime-minister-of-ukraine-denys-shmyhal/</t>
  </si>
  <si>
    <t>USF4</t>
  </si>
  <si>
    <t xml:space="preserve">Economic Support Fund to respond to emergent needs in Ukraine, to provide needed budget support to assist with Ukraine’s continuity of government. The fund can be all disbursed in grants. Out of a total of 8.776 billion USD, we do not count the 760 million USD donated to face global food insecurity. According to "Source of Aid 2", 5 billion USD of the total 8.006 billion US will be spent to support Ukraine's economy in cooperation with the European Union. The aid is part of a bigger package from May 10, 2022, the Additional Ukraine Supplemental Act 2022, that provides a total amount of 4.52 billion USD in direct humanitarian assistance to Ukraine and neighboring countries (see also USH7-USH9), financial assistance of 8.506 billion USD (see also USF5) and military assistance of 21.1 billion USD to Ukraine and neighboring countries (see USM5-USM8). We do not include the remaining part of that overall package from May 10, 2022, since it is not directly targeted at Ukraine.
</t>
  </si>
  <si>
    <t>https://www.ft.com/content/8d3a4174-6bcb-4867-a83e-47a258a918d0</t>
  </si>
  <si>
    <t>USF5</t>
  </si>
  <si>
    <t>Support for the specialized facilities of the European Bank for Reconstruction and Development to support Ukraine’s economic and energy needs.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military assistance of 21.1 billion USD to Ukraine and neighboring countries (see USM5-USM8). We do not include the remaining part of that overall package from May 10, 2022, since it is not directly targeted to Ukraine.</t>
  </si>
  <si>
    <t>EUH1</t>
  </si>
  <si>
    <t>EU (Commission and Council)</t>
  </si>
  <si>
    <t xml:space="preserve">The EU Civil Protection Mechanism is an instrument aiming to improve the prevention, preparedness, and response to disasters. Since the EU Civil Protection Mechanism is not a direct contribution to Ukraine, meaning that it doesn't provide the resources constituting the aid, we do not report it in "Bilateral Aid". This choice was made despite the fact that the EU Civil Protection Mechanism was established by the European Commission. </t>
  </si>
  <si>
    <t>https://ec.europa.eu/info/strategy/priorities-2019-2024/stronger-europe-world/eu-solidarity-ukraine/eu-assistance-ukraine_en#eu-civil-protection-mechanism</t>
  </si>
  <si>
    <t>EUH2</t>
  </si>
  <si>
    <t xml:space="preserve">The entire announced support package for Ukraine and its neighboring countries is 500 million EUR, according to "Source of Aid 1". Since this sum is for refugees outside of Ukraine as well, we need to disentangle it into the disclosed sums and purposes to attribute the correct amount. "Source of Aid 2" mentions that over 93 million EUR have been made available so far for humanitarian aid. From these 93 million EUR, the Commission states that 85 million EUR will be given to Ukraine directly as Humanitarian Aid to help provide food, water, shelter and other basic needs to the people affected by the war, while 8 million EUR were devoted to Moldova (which we dont count since it not direct bilateral aid to Ukraine). Moreover, "Source of Aid 2" mentions that 330 million EUR are contributed via an Emergency Support Program for the people in Ukraine. It helps dealing with physical and psychological trauma and provides goods for basic needs as well as access to healthcare and education. Hence, we can disentangle the total sum of 500 million EUR for Ukraine and neighboring countries such that we attribute 415 million EUR out of the 500 million EUR total package (330 million + 85 million EUR) for Ukraine. The 8 million EUR for Moldova are not counted. </t>
  </si>
  <si>
    <t>https://ec.europa.eu/commission/presscorner/detail/en/speech_22_1483</t>
  </si>
  <si>
    <t>https://ec.europa.eu/info/strategy/priorities-2019-2024/stronger-europe-world/eu-solidarity-ukraine/eu-assistance-ukraine_en</t>
  </si>
  <si>
    <t>EUH3</t>
  </si>
  <si>
    <t>As a partner of the "Stand Up for the Ukraine" Event, the EU announced the provision of additional 1 billion EUR on April 9, 2022. According to "Source of Aid 1", only 600 million EUR out of the 1 billion EUR are devoted to Ukraine. "Source of Aid 2" admits the total amount of 1 billion EUR, pledged by the EU Commission.</t>
  </si>
  <si>
    <t>https://ec.europa.eu/commission/presscorner/detail/en/IP_22_2382</t>
  </si>
  <si>
    <t>EUH4</t>
  </si>
  <si>
    <t>The EU pledged an additional 200 million EUR for internally displaced people during the International Donor's Conference on May 5, 2022 (see "Source of Aid 1", 37:00).</t>
  </si>
  <si>
    <t>https://euneighbourseast.eu/news-and-stories/latest-news/ukraine-eu-announces-new-aid-worth-e200-million-for-displaced-people/#:~:text=Ukraine%3A%20EU%20announces%20new%20aid%20worth%20%E2%82%AC200%20million,Donors%E2%80%99%20Conference%20convened%20jointly%20by%20Poland%20and%20Sweden.?msclkid=2ab08ff4cf8811ec87c245022077fc10</t>
  </si>
  <si>
    <t>EUH5</t>
  </si>
  <si>
    <t xml:space="preserve">The EU allocated an additional 205 million EUR in humanitarian assistance for Ukraine, according to commissioner for Crisis Management, Janez Lenarčič </t>
  </si>
  <si>
    <t>https://ec.europa.eu/commission/presscorner/detail/en/speech_22_2807</t>
  </si>
  <si>
    <t>EUF1</t>
  </si>
  <si>
    <t>A new emergency Macro-Financial Assistance amounting to 1.2 billion EUR was adopted by the Commission on February 1, 2022 (to be disbursed in two equal tranches á 600 million EUR). We don't report the aid provided by the MFA in the context of the Covid-19 pandemic, nor MFA I, MFA II, MFA III or MFA IV, because they are unrelated to Russia's aggression and are prior to January 24, 2022.</t>
  </si>
  <si>
    <t>https://ec.europa.eu/info/business-economy-euro/economic-and-fiscal-policy-coordination/international-economic-relations/enlargement-and-neighbouring-countries/neighbouring-countries-eu/neighbourhood-countries/ukraine_en</t>
  </si>
  <si>
    <t>EUF2</t>
  </si>
  <si>
    <t>In addition to its Macro-Financial Assistance, the EU offered a grant to support the budget of Ukraine, "to help state and resilience building" ("Source of Aid 1").</t>
  </si>
  <si>
    <t>https://ec.europa.eu/info/strategy/priorities-2019-2024/stronger-europe-world/eu-solidarity-ukraine/eu-assistance-ukraine_en?msclkid=23e9b3c1d14011ecaaeca792ec66a4ed</t>
  </si>
  <si>
    <t>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t>
  </si>
  <si>
    <t>EUF3</t>
  </si>
  <si>
    <t>In light of urgent financial needs of the Ukrainian government, the Commission announced to grant Ukraine additional Macro-Financial Assistance, worth 9 billion EUR in 2022, guaranteed by the Union budget. Furthermore, it is stated that the Member States "should" make additional guarantees. "Source of Aid 2" refers to additional 0.6 billion EUR, which reflects one tranche of the entry EUF1.</t>
  </si>
  <si>
    <t>https://ec.europa.eu/commission/presscorner/detail/en/ip_22_3121</t>
  </si>
  <si>
    <t>https://twitter.com/ZelenskyyUa/status/1527221083979620352</t>
  </si>
  <si>
    <t>https://www.reuters.com/markets/europe/eu-offers-9-bln-euro-loan-ukraine-prepares-reconstruction-commission-2022-05-18/</t>
  </si>
  <si>
    <t>EUM1</t>
  </si>
  <si>
    <t>European Peace Facility</t>
  </si>
  <si>
    <t>The European Peace Facility (EPF) is an off-budget instrument to fund emergency assistance measures. It has a regulated annual budget. In view of the Russia-Ukraine war, the EU commission decided to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</si>
  <si>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https://www.europarl.europa.eu/RegData/etudes/ATAG/2022/729301/EPRS_ATA(2022)729301_EN.pdf</t>
  </si>
  <si>
    <t>EUM2</t>
  </si>
  <si>
    <t>The European Peace Facility (EPF) is an off-budget instrument to fund emergency assistance measures. It has a regulated annual budget. On March 23, the EU commission decided  to further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</si>
  <si>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EUM3</t>
  </si>
  <si>
    <t>The EU increased the total resources of the European Peace Facility to 1.5 billion EUR with a third tranche worth 500 million EUR.</t>
  </si>
  <si>
    <t>https://twitter.com/vonderleyen/status/1512525016910471170</t>
  </si>
  <si>
    <t>https://www.consilium.europa.eu/de/press/press-releases/2022/04/13/eu-support-to-ukraine-council-agrees-on-third-tranche-of-support-under-the-european-peace-facility-for-total-1-5-billion/</t>
  </si>
  <si>
    <t>https://tvpworld.com/59620451/eu-allocates-additional-eur-500-million-to-aid-ukraine#:~:text=The%20European%20Union%20agreed%20on%20the%20third%20tranche,of%20military%20equipment%20to%20the%20Ukrainian%20Armed%20Forces.</t>
  </si>
  <si>
    <t>EUM4</t>
  </si>
  <si>
    <t>The EU increased the total resources of the European Peace Facility to 2 billion EUR with a fourth tranche worth 500 million EUR.</t>
  </si>
  <si>
    <t>https://www.consilium.europa.eu/en/press/press-releases/2022/05/24/eu-support-to-ukraine-council-agrees-on-further-increase-of-support-under-the-european-peace-facility/</t>
  </si>
  <si>
    <t>https://www.politico.eu/article/eu-to-increase-military-support-fund-for-ukraine-2-billion/</t>
  </si>
  <si>
    <t>https://euneighbourseast.eu/news-and-stories/latest-news/council-adopts-e500-million-eu-support-to-ukraine-under-european-peace-facility/</t>
  </si>
  <si>
    <t>EIF1</t>
  </si>
  <si>
    <t>European Investment Bank</t>
  </si>
  <si>
    <t>The EIB, provided with an external lending mandate, has prepared an emergency solidarity package for Ukraine of 2 billion EUR, including the provision of 668 million EUR in immediate liquidity assistance to the Ukrainian authorities and 1.3 billion EUR of commitments made for infrastructure projects. "Source of Aid 3" speaks of initial 700 million EUR liquidity assistance, from which we only include 668 million since this amount went to Ukraine directly. Source of Aid 3 also speaks of a 4 billion EUR pledge during the "Stand up for Ukraine" event in April. This however is not included since the aid does not go to Ukraine.</t>
  </si>
  <si>
    <t>https://www.eib.org/en/press/all/2022-124-first-payments-under-eib-ukraine-solidarity-urgent-response-reach-ukraine-as-part-of-european-union-immediate-support-to-the-country</t>
  </si>
  <si>
    <t>https://www.eib.org/en/press/news/joint-statement-of-heads-of-international-financial-institutions-with-programs-in-ukraine-and-neighboring-countries</t>
  </si>
  <si>
    <t>https://www.eib.org/en/projects/regions/eastern-neighbours/ukraine/eib-solidarity.htm?sortColumn=StartDate&amp;sortDir=desc&amp;pageNumber=0&amp;itemPerPage=10&amp;pageable=true&amp;language=EN&amp;defaultLanguage=EN&amp;tags=ukraine-solidarity&amp;ortags=true</t>
  </si>
  <si>
    <t>EIF2</t>
  </si>
  <si>
    <t>As part of the EIB Group support to Ukraine, the EIB Institute gives humanitarian assistance of 2.5 million EUR to help the people affected by the war in Ukraine. The financing comes on top of the 668 million EUR provided as part of the package reported in EIF1.</t>
  </si>
  <si>
    <t>https://www.eib.org/en/press/news/donation-ukraine</t>
  </si>
  <si>
    <t>Donor</t>
  </si>
  <si>
    <t>Contributing Country</t>
  </si>
  <si>
    <t>Country contribution</t>
  </si>
  <si>
    <t>Currency of Country Contribution</t>
  </si>
  <si>
    <t>Item (in kind aid)</t>
  </si>
  <si>
    <t>Source of Unit Price</t>
  </si>
  <si>
    <t>Notes on Unit Price</t>
  </si>
  <si>
    <t>Value (own estimate)</t>
  </si>
  <si>
    <t>EBF1</t>
  </si>
  <si>
    <t>European Bank for Reconstruction and Development</t>
  </si>
  <si>
    <t>Funding to support the continuation of key government services.</t>
  </si>
  <si>
    <t>The aid consists of 2 billion EUR to support resilience and livelihoods in Ukraine and affected countries. Since we could not disentagle the aid directed to Ukraine from the aid directed to neighboring countries, we assumed upper bounds and included the package in its entirety. "Source of Aid 3" speaks of 1 billion EUR support intented to Ukraine this year, announced on April 27, 2022. This, however, is part of the initial 2 billion EUR package reported here.</t>
  </si>
  <si>
    <t>https://www.ebrd.com/news/2022/ebrd-unveils-2-billion-resilience-package-in-response-to-the-war-on-ukraine-.html</t>
  </si>
  <si>
    <t>https://www.worldbank.org/en/news/statement/2022/03/17/joint-statement-of-heads-of-international-financial-institutions-with-programs-in-ukraine-and-neighboring-countries</t>
  </si>
  <si>
    <t>https://www.ebrd.com/news/2022/ebrd-enhances-trade-finance-for-ukraine-.html</t>
  </si>
  <si>
    <t>IMF1</t>
  </si>
  <si>
    <t>IMF</t>
  </si>
  <si>
    <t xml:space="preserve">Assistance </t>
  </si>
  <si>
    <t>Emergency assistance disbursed under the Rapid Financing Instrument (RFI) to help meet urgent financing needs including to mitigate the economic impact of the war.</t>
  </si>
  <si>
    <t>https://www.imf.org/en/News/Articles/2022/03/17/pr2280-joint-statement-heads-ifis-programs-ukraine-neighboring-countries</t>
  </si>
  <si>
    <t>https://www.imf.org/en/About/FAQ/russia-ukraine#Q1%20What%20resources%20is%20the%20IMF%20making%20available%20to%20help%20Ukraine?</t>
  </si>
  <si>
    <t>IMF2</t>
  </si>
  <si>
    <t>Multi-donor administered account for direct financial. assistance</t>
  </si>
  <si>
    <t>The IMF set up a multi-donor administered account that allows to donate money into, which then will be transferred to Ukraine as direct financial assistance. The account is not restricted to countries and also allows international organisations or NGOs to donate into it to ensure that the money gets transferred to Ukraine safe. On April 8, 2022, Canada has proposed 1 billion CAD in their annual government budget to be donated to this vehicle.</t>
  </si>
  <si>
    <t>https://www.imf.org/en/News/Articles/2022/04/08/pr22111-imf-executive-board-approves-establishment-of-a-multi-donor-administered-account-for-ukraine</t>
  </si>
  <si>
    <t>https://www.bloomberg.com/news/articles/2022-04-08/imf-creates-new-account-to-help-ukraine-as-canada-pledges-funds</t>
  </si>
  <si>
    <t>https://english.nv.ua/nation/canada-to-send-1-billion-canadian-dollars-to-ukraine-50232696.html</t>
  </si>
  <si>
    <t>RCH1</t>
  </si>
  <si>
    <t>International Federation of Red Cross and Red Crescent Societies</t>
  </si>
  <si>
    <t>Until 4/4/2022</t>
  </si>
  <si>
    <t>Delivery of over 700 tons of medical supplies, food and relief items</t>
  </si>
  <si>
    <t>The ICRC has delivered over 700 tons of medical supplies, food and relief items to Ukraine since the start of the Russian invasion. As we cannot disentangle how much food, medical supplies and relief items have been sent respectively, and since the value of donation as given by the donor is also unknown, we cannot evaluate the total amount donated.</t>
  </si>
  <si>
    <t>https://www.icrc.org/en/document/what-about-our-action-ukraine</t>
  </si>
  <si>
    <t>UNF1</t>
  </si>
  <si>
    <t>United Nations</t>
  </si>
  <si>
    <t>Fund</t>
  </si>
  <si>
    <t>The UN provides money through the Central Emergency Response Fund (CERF) for Humanitarian Assistance. "Source of Aid 1" cites the 20 million USD provided by the CERF and cited in UNF2.</t>
  </si>
  <si>
    <t>https://reliefweb.int/report/ukraine/ukraine-flash-appeal-march-may-2022-enukru</t>
  </si>
  <si>
    <t>UNF2</t>
  </si>
  <si>
    <t xml:space="preserve">The assistance consists of a grant for the Central Emergency Response Fund (CERF), additional to the 20 million EUR allocated by the CERF on February 24, 2022, and reported in UNF1. </t>
  </si>
  <si>
    <t>UNF3</t>
  </si>
  <si>
    <t>The aid is provided by the UN through the Ukraine Humanitarian Fund (UHF). "Source of Aid 1" lists also the aid provided by the CERF and reported in UNF2 and UNF3.</t>
  </si>
  <si>
    <t>https://www.unocha.org/ukraine/about-uhf</t>
  </si>
  <si>
    <t>WBF1</t>
  </si>
  <si>
    <t>World Bank Group</t>
  </si>
  <si>
    <t>Loan + Guarantees</t>
  </si>
  <si>
    <t>The budget support package for Ukraine consists of a supplemental loan of 350 million USD by the IBRD, a branch of the World Bank Group, and guarantees in the amount of 139 million USD by the Netherlands (89 million USD) and Sweden (50 million USD). Thus, we report a contribution of 489 million USD. "Source of Aid 1" reports the aid packages described in WBF1, WBF2 and WBF3, thus giving a total amount of 723 million USD. "Source of Aid 2" reports the aid packages described in WBF1, WBF2, WBF3 and WBF4, thus amouting to a total of 925 million USD.</t>
  </si>
  <si>
    <t>International Bank for Reconstruction and Development (IBRD)</t>
  </si>
  <si>
    <t>WBF2</t>
  </si>
  <si>
    <t>Grants and pledges for Multi Donor Trust Fund</t>
  </si>
  <si>
    <t>In addition to the budget support described in WBF1, the World Bank has offered a grant financing amounting to 134 million USD in a Multi Donor Trust Fund. The grant is made by different countries' pledges: UK has pledged for 100 million USD, Denmark has pledged for 20 million EUR (22 million USD, accordin to "Source of Aid 1"), Latvia, Lithuania and Iceland combined have pledged for 12 million USD. "Source of Aid 1" reports the aid packages described in WBF1, WBF2 and WBF3, thus amounting to a total of 723 million USD.</t>
  </si>
  <si>
    <t>Latvia, Lithuania, Iceland</t>
  </si>
  <si>
    <t>Iceland</t>
  </si>
  <si>
    <t>WBF3</t>
  </si>
  <si>
    <t>Linked Parallel Financing</t>
  </si>
  <si>
    <t>In addition to the aid included in WBF1 and WBF2, the World Bank has delivered a parallel financing of 100 million USD. The financing comes from Japan and is reported here, as well as in the bilateral country sheet, because it is part of the aid package provided by the World Bank. "Source of Aid 1" reports the aid packages reported in WBF1, WBF2 and WBF3, thus amounting to a total of 723 million USD.</t>
  </si>
  <si>
    <t>WBF4</t>
  </si>
  <si>
    <t>Financing</t>
  </si>
  <si>
    <t>The World Bank provides nearly $200 million in additional and reprogrammed financing to bolster Ukraine’s social services for vulnerable people. This comes on top of the 723 million USD reported in WBF1, WF2 and WBF3. We leave out the multi donor trust fund (MDTF) amounting to 145 million USD, as we consider only the aid delivered directly by the World Bank. The aid reported in WBF1, WBF2, WF3 and WBF4 is part of the 3 billion USD support promised to Ukraine by the World Bank.</t>
  </si>
  <si>
    <t>WBF5</t>
  </si>
  <si>
    <t>The aid package was announced by the President of the World Bank on April 12, 2022, and is intended to help support key services of the Ukrainian government, like wages for hospital workers, pensions for elderly people and social programmes for vulnerable people. The funding consists of $1 billion through the International Development Association arm of the World Bank Group and $472 million guaranteed by the International Bank for Reconstruction and Development, a division of the World Bank Group. On June 7, the package was announced to have been approved by the board of directors (Source of Aid 3).</t>
  </si>
  <si>
    <t>https://www.reuters.com/business/world-bank-says-it-is-preparing-15-billion-aid-package-ukraine-2022-04-12/</t>
  </si>
  <si>
    <t>https://www.theguardian.com/world/2022/apr/12/world-bank-approves-770m-ukraine-services-funds-russia</t>
  </si>
  <si>
    <t>https://www.worldbank.org/en/news/press-release/2022/06/07/-world-bank-announces-additional-1-49-billion-financing-support-for-ukraine</t>
  </si>
  <si>
    <t>BGCM1</t>
  </si>
  <si>
    <t>Bulgaria agreed on repairing armored vehicles, infantry fighting vehicles and tanks (see "Source of Aid 4") . 80 tanks (see "Source of Aid 3") are to be transferred in the next days.</t>
  </si>
  <si>
    <t>not given</t>
  </si>
  <si>
    <t>https://www.reuters.com/world/europe/bulgaria-approves-repairs-ukrainian-military-equipment-not-military-aid-2022-05-04/</t>
  </si>
  <si>
    <t>https://kyivindependent.com/uncategorized/bulgaria-will-be-repairing-ukrainian-defense-equipment</t>
  </si>
  <si>
    <t>https://balkaninsight.com/2022/06/07/we-have-done-enough-bulgaria-rejects-ukraines-plea-for-heavy-weapons/</t>
  </si>
  <si>
    <t>https://observatorial.com/news/world/92572/ukraine-bulgaria-undertakes-heavy-weapons-repairs/</t>
  </si>
  <si>
    <t>infantry fighting vehicle</t>
  </si>
  <si>
    <t>tank</t>
  </si>
  <si>
    <t>SKMC1</t>
  </si>
  <si>
    <t>Purchase of eight Zusana-2 howitzers under commercial contract</t>
  </si>
  <si>
    <t>Zusana-2 howitzer</t>
  </si>
  <si>
    <t>https://english.nv.ua/nation/slovakia-to-send-8-howitzers-to-ukraine-military-news-50247162.html#:~:text=Ukraine%20and%20the%20Slovak%20Republic,on%20Twitter%20on%20June%202.</t>
  </si>
  <si>
    <t>PLMC1</t>
  </si>
  <si>
    <t xml:space="preserve">Commercial contract amounting to 700 million USD, for the purchase of 60 howitzers. </t>
  </si>
  <si>
    <t>https://www.defensenews.com/global/europe/2022/06/08/ukraine-to-buy-polish-howitzers-as-long-war-looms-with-russia/</t>
  </si>
  <si>
    <t>TRMC1</t>
  </si>
  <si>
    <t xml:space="preserve">The company Baykar Defense has donated three Bayraktar TB2 to Ukraine. </t>
  </si>
  <si>
    <t>Bayraktar TB2 Drone</t>
  </si>
  <si>
    <t>https://asia.nikkei.com/Politics/Ukraine-war/With-drone-gift-to-Ukraine-Turkey-s-Baykar-wins-fans-and-clients</t>
  </si>
  <si>
    <t>TRMC2</t>
  </si>
  <si>
    <t xml:space="preserve">The company Baykar Defense has sent a total of 50 units of Bayraktar TB2 to Ukraine since the start of the invasion on February 2022. </t>
  </si>
  <si>
    <t>https://www.middleeasteye.net/news/russia-ukraine-war-tb2-bayraktar-drones-fifty-received</t>
  </si>
  <si>
    <t>EU</t>
  </si>
  <si>
    <t>Country</t>
  </si>
  <si>
    <t>Financial Aid</t>
  </si>
  <si>
    <t>Humanitarian Aid</t>
  </si>
  <si>
    <t>Military Aid</t>
  </si>
  <si>
    <t>Bilateral Aid (billion EUR)</t>
  </si>
  <si>
    <t>Bilateral Aid (EUR)</t>
  </si>
  <si>
    <t>GDP (USD)</t>
  </si>
  <si>
    <t>GDP (EUR)</t>
  </si>
  <si>
    <t>Bilateral Aid (% of GDP)</t>
  </si>
  <si>
    <t>Share of EU Aid (billion EUR)</t>
  </si>
  <si>
    <t>Share of EPF Aid (billion EUR)</t>
  </si>
  <si>
    <t>Share of EIB Aid (billion EUR)</t>
  </si>
  <si>
    <t>Sum of Aid via all EU vehicles (billion EUR)</t>
  </si>
  <si>
    <t>Sum of Aid via all EU vehicles (% of GDP)</t>
  </si>
  <si>
    <t>Total aid (bilateral + EU) (billion EUR)</t>
  </si>
  <si>
    <t>Total aid (bilateral + EU) (% of GDP)</t>
  </si>
  <si>
    <t>Arms and Equipment (adjusted, billion EUR)</t>
  </si>
  <si>
    <t>Financial Aid with Military purpose (billion EUR)</t>
  </si>
  <si>
    <t>Financial Aid (billion EUR)</t>
  </si>
  <si>
    <t>Humanitarian Aid (billion EUR)</t>
  </si>
  <si>
    <t>Military Aid (billion EUR)</t>
  </si>
  <si>
    <t>GDP (billion EUR)</t>
  </si>
  <si>
    <t>EU Countries + EU Institutions</t>
  </si>
  <si>
    <t>EU Countries</t>
  </si>
  <si>
    <t>EU Institutions</t>
  </si>
  <si>
    <t>Anglosaxon countries</t>
  </si>
  <si>
    <t>Other donor countries</t>
  </si>
  <si>
    <t>Non bilateral donors</t>
  </si>
  <si>
    <t>Currency</t>
  </si>
  <si>
    <t>1 EUR</t>
  </si>
  <si>
    <t>TWD</t>
  </si>
  <si>
    <t>Source: ECB (July , 2022). We use the average over the last month (June 1 until July 1, 2022). The TWD exchange rate is the last available one from the ECB (date 30.10.2020)</t>
  </si>
  <si>
    <t>item</t>
  </si>
  <si>
    <t xml:space="preserve">Type of item </t>
  </si>
  <si>
    <t>Unit Price</t>
  </si>
  <si>
    <t>https://www.pmulcahy.com/am_rifles/czech_am_rifles.htm</t>
  </si>
  <si>
    <t>Price for a OVP Falcon 12.7mm Russian and 0.5 Browning Machinegun</t>
  </si>
  <si>
    <t>https://nationalpost.com/news/canada/canadian-army-restricts-use-of-artillery-rounds-after-cracks-found-in-high-tech-shells-costing-150000-each#:~:text=Regular%20artillery%20shells%20are%20estimated,up%20to%2040%20kilometres%20away.</t>
  </si>
  <si>
    <t>As the item comprises several different artillery ammunitions, we use "the regular artillery shell" cost (see the Source of Unit Price) of about 2,000 USD as estimation.</t>
  </si>
  <si>
    <t>https://www.military-today.com/artillery/m777.htm</t>
  </si>
  <si>
    <t>It is given that a M777 has a unit cost of 5.17 million USD and further that a typical 155mm howitzer costs around 1/10th as much.</t>
  </si>
  <si>
    <t>5.56 mm, 23 mm firearms for the ZU-23-2 cannon</t>
  </si>
  <si>
    <t xml:space="preserve">https://www.ammograb.com/556x45mm-nato/ </t>
  </si>
  <si>
    <t>0.57 cents per round, 5.56 mm without bulk discount to account for 23 mm ammo.</t>
  </si>
  <si>
    <t>https://www.militaryfactory.com/smallarms/detail.php?smallarms_id=18</t>
  </si>
  <si>
    <t>Using standard price for 60mm mortar.</t>
  </si>
  <si>
    <t>https://www.waffenschumacher.com/wp-content/uploads/2017/10/VISIER_CSA_Czech-Small-Arms-Sa-vz.58-11-2013.pdf</t>
  </si>
  <si>
    <t>This report lists five different prices in Euro, depending on the model, so that we take the average and report the converted value in USD.</t>
  </si>
  <si>
    <t>https://truegunvalue.com/rifle/dragunov/price-historical-value</t>
  </si>
  <si>
    <t>The website reports the value of a new weapon and also a used value. We therefore take the new value.</t>
  </si>
  <si>
    <t>https://www.rockislandauction.com/detail/1039/2976/czech-uk-vz-59-semiautomatic-rifle</t>
  </si>
  <si>
    <t>The website reports a realized price of 5,175 USD which we prefer against the estimated price range that is also reported.</t>
  </si>
  <si>
    <t>https://www.guncritic.com/product/cz-vz-61-scorpion-32acp-blue/</t>
  </si>
  <si>
    <t>The website reports this price for a new weapon.</t>
  </si>
  <si>
    <t>https://truegunvalue.com/pistol/cz-82/price-historical-value</t>
  </si>
  <si>
    <t>The source reports the average price for a CZ 82 pistol.</t>
  </si>
  <si>
    <t>adult resuscitator</t>
  </si>
  <si>
    <t>https://cpr-savers.com/Laerdal-Silicone-Resuscitator-Adult-Standard-with-Adult-Mask-4-5-in-Carton_p_6986.html</t>
  </si>
  <si>
    <t>Retail Price for a standard adult resuscitator.</t>
  </si>
  <si>
    <t>https://en.wikipedia.org/wiki/FIM-92_Stinger</t>
  </si>
  <si>
    <t>As MANPADS are air defense systems, we use the price for a FIM-92 Stinger as price estimate.</t>
  </si>
  <si>
    <t>https://en.wikipedia.org/wiki/Comparison_of_the_AK-47_and_M16</t>
  </si>
  <si>
    <t>Between 700 USD and 800 USD. Hence, the mean price is 750 USD.</t>
  </si>
  <si>
    <t>https://www.frazerbilt.com/blog-ambulance-cost/</t>
  </si>
  <si>
    <t xml:space="preserve">An ambulance can cost between 120,000 and 325,000 USD, average is close to 220,000 USD. </t>
  </si>
  <si>
    <t>ambulance M</t>
  </si>
  <si>
    <t>https://sofrep.com/news/an-introduction-to-the-an-mpq-64-sentinel-aerial-surveillance-radar-ukraine-is-getting-from-the-us/</t>
  </si>
  <si>
    <t>The source reports the estimated unit cost.</t>
  </si>
  <si>
    <t>https://www.deagel.com/Tactical%20Vehicles/ANTPQ-36/a000601</t>
  </si>
  <si>
    <t>We could only find the price for an enhanced AN/TPQ-53 system as it was reported that the US ordered 180 items to a total price of 1.6 billion USD, which allows to calculate the unit cost. We know that this likely overestimates the true costs, but nevertheless gives a good idea of the unit cost.</t>
  </si>
  <si>
    <t>https://twitter.com/nicholadrummond/status/1294364270826860544</t>
  </si>
  <si>
    <t>According to the source, a missile costs 100,000 pound per missile, which gives the converted unit price</t>
  </si>
  <si>
    <t>https://www.lockheedmartin.com/en-us/products/javelin.html</t>
  </si>
  <si>
    <t>According to the source, a Javelin is "the world's premier shoulder-fired anti-armour system", so that we apply the price for a Javelin also here.</t>
  </si>
  <si>
    <t>https://en.wikipedia.org/wiki/AGM-158C_LRASM</t>
  </si>
  <si>
    <t>According to the source, this is the unit cost for a AGM-158C LRASM.</t>
  </si>
  <si>
    <t>https://military-history.fandom.com/wiki/FGM-148_Javelin</t>
  </si>
  <si>
    <t>As approximation, we apply the unit cost of one Javeline missile as it is a very prominently discussed anti tank missile.</t>
  </si>
  <si>
    <t>anti-tank weapon</t>
  </si>
  <si>
    <t>https://www.saab.com/products/nlaw</t>
  </si>
  <si>
    <t>According to the source, the typical anti-tank weapon is indeed the NLAW (Next generation Light Anti-tank weapon), hence we apply the price for a NLAW missile also here as estimation.</t>
  </si>
  <si>
    <t>Since the price depends heavily on the type of armament, no reliable source can be found.</t>
  </si>
  <si>
    <t>https://de.wikipedia.org/wiki/High_Mobility_Multipurpose_Wheeled_Vehicle</t>
  </si>
  <si>
    <t>The source lists various prices, ranging from 34,461 USD to 146,844 USD. We take the average over the various listed types</t>
  </si>
  <si>
    <t>https://www.armormax.com/blog/how-much-does-a-bulletproof-car-cost/#:~:text=Buying%20an%20armored%20car%20is,while%20others%20need%20special%20work.</t>
  </si>
  <si>
    <t>Price range is reported from 30,000 to 90,000 USD. We take the average</t>
  </si>
  <si>
    <t>https://en.wikipedia.org/wiki/RK_62#Export_(Military/LE)</t>
  </si>
  <si>
    <t>As the source shows, the Finish main used Rifle is RK 62, an upgraded AK47. AK47 costs around 1,250 USD, so we estimated the value of the RK 62 to 1,500 USD</t>
  </si>
  <si>
    <t>https://man.fas.org/dod-101/sys/land/at4.htm</t>
  </si>
  <si>
    <t>https://www.221btactical.com/blogs/news/how-much-does-a-bulletproof-vest-cost</t>
  </si>
  <si>
    <t>400 to 600 USD for the vest. Hence, the mean price is 500 USD.</t>
  </si>
  <si>
    <t>https://www.amazon.com/s?k=bio+protective+suit&amp;__mk_de_DE=%C3%85M%C3%85%C5%BD%C3%95%C3%91&amp;crid=2MJA43R80NRVA&amp;sprefix=bio+protective+suit%2Caps%2C215&amp;ref=nb_sb_noss_1</t>
  </si>
  <si>
    <t>The average retail price is 10.00 USD.</t>
  </si>
  <si>
    <t>Since the price depends heavily on the type of blood and the donor country, no reliable source can be found.</t>
  </si>
  <si>
    <t>https://www.frankonia.de/p/sellier-bellot/9-mm-luger-vollmantel-8-0g-124grs/65187</t>
  </si>
  <si>
    <t>Price for a standard 9mm handgun ammunition is 20,9 EUR for 50 bullets. Hence, 0.418 EUR for one bullet.</t>
  </si>
  <si>
    <t>https://mortarinvestments.eu/catalog/item/bmp-type-vehicles</t>
  </si>
  <si>
    <t>Since we could not find the price of the BVP-1, which is the Czech version of the Soviet manufactored BMP, we report the retail market price of the BMP</t>
  </si>
  <si>
    <t>https://webcache.googleusercontent.com/search?q=cache:szR8kKdmzDEJ:https://www.serdp-estcp.org/content/download/52898/520812/file/WP-201508%2520Final%2520Report.pdf+&amp;cd=2&amp;hl=de&amp;ct=clnk&amp;gl=de</t>
  </si>
  <si>
    <t>Baseline cost of C4/M112 per block.</t>
  </si>
  <si>
    <t>canned and dried food</t>
  </si>
  <si>
    <t>cannula</t>
  </si>
  <si>
    <t>https://www.made-in-china.com/price/iv-cannula-price.html</t>
  </si>
  <si>
    <t>Usual retail price for cannulas range between 0.2 to 0.5 USD. We take the median of 0.35 USD.</t>
  </si>
  <si>
    <t>https://military-history.fandom.com/wiki/Carl_Gustaf_recoilless_rifle</t>
  </si>
  <si>
    <t>Standard price given for this type of rifle.</t>
  </si>
  <si>
    <t>https://www.bulkammo.com/rifle/bulk-7.62x39mm-ammo</t>
  </si>
  <si>
    <t>RK 62 uses 7.62×39mm, 1,000 rounds cost around 400 USD</t>
  </si>
  <si>
    <t>https://www.gadgetreview.com/computer-monitor-cost#:~:text=How%20much%20does%20a%20monitor,price%20is%20around%20%24200%20%2D%20%24300.</t>
  </si>
  <si>
    <t>The average price of a computer monitor is given with 200 to 300 USD, hence we apply an estimate of 250 USD.</t>
  </si>
  <si>
    <t>https://www.dsca.mil/sites/default/files/mas/jordan_15-02.pdf</t>
  </si>
  <si>
    <t>The US sent 35 coastal patrol boats to Jordan, worth 80 million USD. This allows an approximation for the unit cost.</t>
  </si>
  <si>
    <t>https://www.newsy.com/stories/how-much-money-should-you-actually-be-investing-in-a-winter-coat/</t>
  </si>
  <si>
    <t>Between 100 USD and 300 USD, so the average is 200 USD.</t>
  </si>
  <si>
    <t>https://en.wikipedia.org/wiki/Meal,_Ready-to-Eat</t>
  </si>
  <si>
    <t>A 12 pack case of meal packs is approximately 90 USD. Hence, 1 pack costs approximately 8 USD.</t>
  </si>
  <si>
    <t>https://www.airuniversity.af.edu/Portals/10/ASPJ/journals/Chronicles/ucav.pdf</t>
  </si>
  <si>
    <t>According to the source, the most popular version of a UCAV costs less than 15 million USD.</t>
  </si>
  <si>
    <t>D-30 howitzer</t>
  </si>
  <si>
    <t>https://en.wikipedia.org/wiki/M198_howitzer</t>
  </si>
  <si>
    <t>We apply the price for an M198 howitzer as approximation, as we could not find a detailed price for the D 30 howitzer.</t>
  </si>
  <si>
    <t>https://www.theguardian.com/world/2022/mar/23/uk-doubles-number-of-missiles-sent-to-ukraine-ahead-of-nato-summit</t>
  </si>
  <si>
    <t>Deducted price by dividing the total amount given by donor by the number of units donated</t>
  </si>
  <si>
    <t xml:space="preserve">According to SKM1, Slovakia has pledged 1,7 million EUR in the shipment of 5 demining sets and medical equipment. Since we could not find the price of the demining sets, we assumed that the sets costs 1,7 million EUR and divided them by 5. Also, we then converted in USD (2.06.2022, 18,33). </t>
  </si>
  <si>
    <t>https://sprengtechnik.de/zerstoerung-von-festplatten-durch-sprengung/#:~:text=Der%20Einsatz%20von%20Linearladungen%20%28Sprengschnur%29%20stellt%20hier%20eine,Kosten%20von%2018%20Cent%20f%C3%BCr%20jeden%20vernichteten%20Datentr%C3%A4ger.</t>
  </si>
  <si>
    <t>100 meter 12-g/m-detonating cord costs 90 EUR, hence 99.18 USD.</t>
  </si>
  <si>
    <t>Explosives (pmulcahy.com)</t>
  </si>
  <si>
    <t>Price for a M-112 C4 Demolition Block, "standard plastic explosive block in the US and several of its allies."</t>
  </si>
  <si>
    <t>https://www.walmart.com/browse/sports-outdoors/family-camping-tents/4125_546956_4128_887708_5044884</t>
  </si>
  <si>
    <t>Most retail prices range between 100 USD and 200 USD, such that we take the median of 150 USD as estimator.</t>
  </si>
  <si>
    <t>FFP3 Mask</t>
  </si>
  <si>
    <t>https://www.amazon.de/-/en/Deutschland-GT500075145-8835-Respirator-Mask/dp/B004OYY31K</t>
  </si>
  <si>
    <t>Average retail price is given with 9.6 EUR per mask.</t>
  </si>
  <si>
    <t>https://firefighterinsider.com/fire-truck-engine-apparatus-cost/</t>
  </si>
  <si>
    <t>Can cost between 250,000 and 550,000 USD, average is 400,000 USD</t>
  </si>
  <si>
    <t>https://www.mymat.de/preise-und-formate-fussmatten</t>
  </si>
  <si>
    <t>The source lists average prices in EUR for four different sizes of foot mats. We use the average among the four to calculate a price approxmiate.</t>
  </si>
  <si>
    <t>https://dronelife.com/2016/08/17/xtreem-affordable-hd-video-drones/#:~:text=Fly%20Eye%20%E2%80%93%20%24149.99&amp;text=Trim%2Fstabilization%20adjustment.,-Camera%20%E2%80%93%20Wi%2DFi</t>
  </si>
  <si>
    <t>https://www.thefirearmblog.com/blog/2013/01/08/the-fn-fnc-affordable-select-fire-5-56/#:~:text=Anyways%2C%20you%20can%20buy%20a,on%20a%20great%20little%20rifle</t>
  </si>
  <si>
    <t>https://www.bw-online-shop.com/outdoor/outdoorkueche/verpflegung/epa-einmannpackung-typ-2.html</t>
  </si>
  <si>
    <t>According to the Bundeswehr, they use the "Einmannpackung" (Epa) as a standard good. The price is, according to the bundeswehr shop, 20 EUR for different types of this Epa. This corresponds to 22 USD.</t>
  </si>
  <si>
    <t>https://www.sparks-military.com/en/body-armor/154-m-69-fragmentation-vest-flak-jacket.html</t>
  </si>
  <si>
    <t>Price of a M-69 standard fragmentation vest.</t>
  </si>
  <si>
    <t>https://www.amazon.de/s?k=medical+gloves+non+sterile&amp;crid=27Q1FWQ28L6PP&amp;sprefix=non-steri%2Caps%2C103&amp;ref=nb_sb_ss_ts-doa-p_1_9</t>
  </si>
  <si>
    <t>Average retail price is around 0.15 USD per piece.</t>
  </si>
  <si>
    <t>Source for the M203: https://web.archive.org/web/20110723004716/http://www.airtronic.net/documents/Delivery_Order.pdf and Source for the M320: https://en.wikipedia.org/wiki/M320_Grenade_Launcher_Module</t>
  </si>
  <si>
    <t>The price of Grenade Launchers used by the U.S. Army ranges between 3,500 USD (M320) and 1,000 USD (M203). We therefore used the mean value of 2,250 USD.</t>
  </si>
  <si>
    <t>https://a5250379796602ad.en.made-in-china.com/product/oSpQOGHuhFYR/China-Portable-Ground-Surveillance-Radar-for-Border-Surveillance.html</t>
  </si>
  <si>
    <t>The source quantifies typical costs of a portable ground surveillance radar to 20,000 to 30,000 USD. Hence, we use the average of 25,000 USD as estimate.</t>
  </si>
  <si>
    <t>https://en.wikipedia.org/wiki/M67_grenade</t>
  </si>
  <si>
    <t>Average cost in 2021 is 49 USD.</t>
  </si>
  <si>
    <t>https://www.businessairnews.com/hb_aircraftpage.html?recnum=EC145</t>
  </si>
  <si>
    <t>Luxembourg uses Airbus H145 helicopters. The price range is given by the source from 1.3 million USD to 7.925 million USD. We use the average.</t>
  </si>
  <si>
    <t>https://janetpanic.com/how-much-does-an-advanced-combat-helmet-cost/</t>
  </si>
  <si>
    <t>Standard price for modern combat helmet.</t>
  </si>
  <si>
    <t>https://bimedis.com/a-item/hospital-beds-gima-44800-letto-1613159</t>
  </si>
  <si>
    <t>https://www.alibaba.com/product-detail/Medical-Children-Clinic-Bed-Manual-Children_62180451022.html?spm=a2700.7724857.normal_offer.d_title.30c23ac4FuVEM5</t>
  </si>
  <si>
    <t>howitzer</t>
  </si>
  <si>
    <t>Price for an M198 howitzer.</t>
  </si>
  <si>
    <t>https://www.ammograb.com/762x51mm-nato/</t>
  </si>
  <si>
    <t>The price for 20 rounds of 7.62x51mm NATO ammunition which is used for the UK vz. 59 machine gun, is 13 USD. Hence, one round costs 0.65 USD.</t>
  </si>
  <si>
    <t>https://www.amazon.com/-/de/dp/B08FXVMBX2/ref=sr_1_7?keywords=hygiene+kit&amp;qid=1654184235&amp;sr=8-7</t>
  </si>
  <si>
    <t>Standard hygiene kit, computed by dividing the total price by the number of units</t>
  </si>
  <si>
    <t>https://www.asafm.army.mil/Portals/72/Documents/BudgetMaterial/2021/Base%20Budget/Procurement/MSLS_FY_2021_PB_Missile_Procurement_Army.pdf</t>
  </si>
  <si>
    <t>Price extracted from the 2021 Pentagon Budget for a Launcher plus a missile.</t>
  </si>
  <si>
    <t>https://www.19fortyfive.com/2022/05/putin-is-smiling-ukraine-may-not-be-getting-full-javelin-missile-training/</t>
  </si>
  <si>
    <t>https://www.caranddriver.com/jeep/wrangler</t>
  </si>
  <si>
    <t>kevlar armor plate</t>
  </si>
  <si>
    <t>400 to 600 USD for a vest. Hence, the mean price is 500 USD.</t>
  </si>
  <si>
    <t>https://en.wikipedia.org/wiki/Advanced_Precision_Kill_Weapon_System</t>
  </si>
  <si>
    <t>Price for an Advanced Precision Kill Weapon System</t>
  </si>
  <si>
    <t>https://en.wikipedia.org/wiki/M72_LAW</t>
  </si>
  <si>
    <t>Price for M72 LAW (Light Anti-armor Weapon)</t>
  </si>
  <si>
    <t>https://en.wikipedia.org/wiki/NLAW</t>
  </si>
  <si>
    <t>The source gives the price range for the Next generation Light Anti-tank Weapon (NLAW) with 30,000 to 40,000 USD, so that we apply the average.</t>
  </si>
  <si>
    <t>Source for the M240 Machine Gun: https://en.wikipedia.org/wiki/M240_machine_gun and for the M249 Machine Gun: https://en.wikipedia.org/wiki/M249_light_machine_gun</t>
  </si>
  <si>
    <t>The average price over both M249 and M240 Machine gun is 5,300 per piece. The range is between 4,000 and 6,600 USD.</t>
  </si>
  <si>
    <t>Outdoor Zündstein Fire Steel - Feuerstarter Anzünder Feuerstein Bundeswehr | eBay</t>
  </si>
  <si>
    <t>Prices for Bundeswehr items range between 6.50 USD and 9.36 USD, hence the average is approximately 8 USD.</t>
  </si>
  <si>
    <t>https://www.amazon.de/s?k=stilles+mineralwasser&amp;__mk_de_DE=%C3%85M%C3%85%C5%BD%C3%95%C3%91&amp;crid=101E435JBIJQP&amp;sprefix=stilles+mineralwasser%2Caps%2C89&amp;ref=nb_sb_noss</t>
  </si>
  <si>
    <t>The rough average for 1 liter of non-carbonated bottled water is 1.50 Euro</t>
  </si>
  <si>
    <t>https://www.globalpetrolprices.com/diesel_prices/</t>
  </si>
  <si>
    <t>Usage of global average current diesel price.</t>
  </si>
  <si>
    <t>https://www.amazon.de/disinfectant-spray/s?k=disinfectant+spray</t>
  </si>
  <si>
    <t>The average retail price for commonly used surface disinfectants.</t>
  </si>
  <si>
    <t>https://www.globalpetrolprices.com/gasoline_prices/</t>
  </si>
  <si>
    <t>Usage of global average current fuel price.</t>
  </si>
  <si>
    <t>https://www.amazon.de/-/en/ADLER-Disinfectant-Litres-according-Formula/dp/B088FXV6XT?th=1</t>
  </si>
  <si>
    <t>Disinfectant, according to WHO Formula</t>
  </si>
  <si>
    <t>In this case, we used the price of bottled water, since we could not find anything regarding water in containers (refer to identifier ATH1)</t>
  </si>
  <si>
    <t>https://en.wikipedia.org/wiki/AeroVironment_Switchblade</t>
  </si>
  <si>
    <t>We use the price for a Switchblade 300 as approximation.</t>
  </si>
  <si>
    <t>Since the type of Lorry is unknown and prices depend heavily on the type, there is no estimation</t>
  </si>
  <si>
    <t>http://www.military-today.com/apc/m113a3.htm#:~:text=The%20unit%20cost%20of%20a,to%20A3%20costs%20%24160%20000.</t>
  </si>
  <si>
    <t>Unit cost of a new M113A3.</t>
  </si>
  <si>
    <t>https://en.wikipedia.org/wiki/Claymore_mine</t>
  </si>
  <si>
    <t>Price for a M19A1 Claymore mine as of 1993 is 119 USD. This corresponds to 240.38 USD today (according to https://www.in2013dollars.com/us/inflation/1993?amount=1#:~:text=Value%20of%20%241%20from%201993,cumulative%20price%20increase%20of%20102.28%25.).</t>
  </si>
  <si>
    <t>Unit cost in 2011.</t>
  </si>
  <si>
    <t>Source for the M240: https://en.wikipedia.org/wiki/M240_machine_gun and Source for the M249: https://en.wikipedia.org/wiki/M249_light_machine_gun</t>
  </si>
  <si>
    <t>https://www.amazon.de/s?k=surgical+mask&amp;__mk_de_DE=%C3%85M%C3%85%C5%BD%C3%95%C3%91&amp;crid=8PY7HKLQUCEM&amp;sprefix=surgical+mask%2Caps%2C106&amp;ref=nb_sb_noss</t>
  </si>
  <si>
    <t>The average retail price is around 0.25 USD per piece.</t>
  </si>
  <si>
    <t>https://www.howmuchisit.org/metal-detector-cost/</t>
  </si>
  <si>
    <t>According to the source, an advanced metal detector costs between 900 USD and 1,500 USD. We use the average of 1,200 USD.</t>
  </si>
  <si>
    <t>http://www.military-today.com/firearms/mg3.htm</t>
  </si>
  <si>
    <t>https://en.wikipedia.org/wiki/Mil_Mi-17#:~:text=Overall%2C%2063%20Mi%2D17s%20were,52%20Mi%2D171E%2C%20respectively.</t>
  </si>
  <si>
    <t>Price range is given with 16.4 million USD to 18.4 million USD, so we apply the average.</t>
  </si>
  <si>
    <t>https://www.ebay.com/itm/252996466305?hash=item3ae7c3b681:g:DGIAAOSwDrNZU34G</t>
  </si>
  <si>
    <t>https://landminefree.org/facts-about-landmines/#:~:text=It%20is%20estimated%20that%20there,them%20is%20%24300%20to%20%241000.</t>
  </si>
  <si>
    <t>According to the Source, a mine costs between $3 and $30, so we take the average of $16.5.</t>
  </si>
  <si>
    <t>see other entries "light anti-tank weapon" and "Javelin missile"</t>
  </si>
  <si>
    <t>Average of the Javeline reported here (102,000) and for the NLAW anti-tank weapon (35,000)</t>
  </si>
  <si>
    <t>https://military-history.fandom.com/wiki/Panzerfaust_3</t>
  </si>
  <si>
    <t>Average price for AP ammuntion for a Panzerfaust 3.</t>
  </si>
  <si>
    <t>The average retail prices is around 0.25 USD per piece</t>
  </si>
  <si>
    <t>Military Gpnvg 18 Night Vision Ground Panoramic Night Vision Goggles For Sale - Buy Gpnvg 18,Gpnvg 18 Night Vision,Ground Panoramic Night Vision Goggle Product on Alibaba.com</t>
  </si>
  <si>
    <t>https://www.shephardmedia.com/news/defence-notes/west-bolsters-ukrainian-arms-stocks-as-russian-thr/</t>
  </si>
  <si>
    <t>Evaluated at 33,000 USD by Shephard Defensive Insight.</t>
  </si>
  <si>
    <t>https://www.therange702.com/blog/can-you-legally-own-a-machine-gun/</t>
  </si>
  <si>
    <t>The source gives the price range for exclusive machine guns to 30,000 to 50,000 USD. So we apply the average.</t>
  </si>
  <si>
    <t>non-sterile gloves</t>
  </si>
  <si>
    <t>Average retail price is around 0.15 per piece</t>
  </si>
  <si>
    <t>https://www.drugs.com/price-guide/azithromycin-dose-pack</t>
  </si>
  <si>
    <t>Given price for a dose pack of oral tablets of Azithromycin.</t>
  </si>
  <si>
    <t>https://www.amazon.de/-/en/Paracetamol-ratiopharm-500-Tablets-Pack-20/dp/B00DIW2WMQ</t>
  </si>
  <si>
    <t>Price for a package of a typical analgesics, paracetamol.</t>
  </si>
  <si>
    <t>pack of bandage</t>
  </si>
  <si>
    <t>https://www.amazon.com/Band-Aid-Adhesive-Bandage-Bandages-Assorted/dp/B001AJS1AQ</t>
  </si>
  <si>
    <t>Retail price is given with 15 USD for one package.</t>
  </si>
  <si>
    <t>pack of gloves</t>
  </si>
  <si>
    <t>https://buygloves.com/types-of-disposable-gloves-and-how-much-they-cost/#:~:text=Poly%20gloves&amp;text=On%20average%2C%20the%20cost%20of%20a%20bundle%20of%20polythene%20disposable,ranges%20from%20%249%20to%20%2420.</t>
  </si>
  <si>
    <t>The average cost ranges from 9 to 20 USD for a bundle of disposable gloves, implying an average of 14.5 USD.</t>
  </si>
  <si>
    <t>pack of medicines</t>
  </si>
  <si>
    <t>https://www.amazon.com/Disposable-Latex-Gloves-Powder-gloves/dp/B000XRY2FE</t>
  </si>
  <si>
    <t>The retail price for a pack of latex gloves is 16 USD.</t>
  </si>
  <si>
    <t>https://www.amazon.com/MedPride-Powder-Free-Nitrile-Gloves-Medium/dp/B00GS8W3T4</t>
  </si>
  <si>
    <t>The retail price for a pack of nitril gloves is 13.49 USD.</t>
  </si>
  <si>
    <t>https://www.amazon.com/Rubber-Boots/s?k=Rubber+Boots</t>
  </si>
  <si>
    <t>The source provides a variety of prices, ranging from 20 USD up to 150 USD. We take the median value of round about 50 USD.</t>
  </si>
  <si>
    <t> https://www.alibaba.com/showroom/basics-shoes-online.html</t>
  </si>
  <si>
    <t>Approx. 20 USD/pair of basic shoes</t>
  </si>
  <si>
    <t xml:space="preserve">https://www.medicalpriceonline.com/medical-equipment/patient-monitor/ </t>
  </si>
  <si>
    <t>https://de.wikipedia.org/wiki/Phoenix_Ghost</t>
  </si>
  <si>
    <t>As the source provides the information that the "Phoenix Ghost" is quite similar to the Switchblade 600, we use the same price as for a Switchblade drone as approximation</t>
  </si>
  <si>
    <t>piece of equipment for ventilator</t>
  </si>
  <si>
    <t>https://www.defensenews.com/land/2016/12/21/poland-awards-220m-short-range-air-defense-deal/#:~:text=WARSAW%2C%20Poland%20%E2%80%94%20The%20Polish%20Ministry,systems%20for%20the%20country%27s%20military.</t>
  </si>
  <si>
    <t>The source says that 220 million USD correspons to the cost of 1300 Piorun missiles and 420 missile launchers (so air-defense systems). To disentangle the sum and to deduct the price for a Piorun air-defense system, we use as approximation for the MANPAD Piorun missile, another MANPAD missile, namely Stinger which amounts to 119000 USD. Hence, 1300*119000 is 154,7 million USD so that 65.3 million USD remains (220-154,7) leading to unit costs of 155,476 USD.</t>
  </si>
  <si>
    <t>https://truegunvalue.com/pistol/sig-p228/price-historical-value/new/2</t>
  </si>
  <si>
    <t xml:space="preserve">The average retail price for a SIG P228 is around 800 USD. </t>
  </si>
  <si>
    <t>https://www.forbes.com/advisor/home-improvement/generator-cost-guide/</t>
  </si>
  <si>
    <t xml:space="preserve">The price of a generator can vary substantially, ranging from 245 USD to up to 18'000 USD. No value could be assigned, since we no further information regarding the type of item has been disclosed. </t>
  </si>
  <si>
    <t>https://mezha.media/en/2022/04/02/together-with-switchblades-drones-the-u-s-will-provide-ukraine-with-the-rq-20-puma-unmanned-aerial-vehicles/#:~:text=The%20cost%20of%20one%20RQ,NATO%20countries%20and%20their%20partners.</t>
  </si>
  <si>
    <t>Unit cost of one RQ-20 Puma.</t>
  </si>
  <si>
    <t>We took the same unit cost as for a fire-engine since they are often the same.</t>
  </si>
  <si>
    <t>https://es.wikipedia.org/wiki/RG-31_Nyala</t>
  </si>
  <si>
    <t>https://www.militarytimes.com/off-duty/gearscout/2012/04/21/u-s-army-places-order-for-24000-m4a1-carbines-with-remington/</t>
  </si>
  <si>
    <t>The most used Rifle in the U.S. Army is the M4 Carbine. We therefore took this model's unit price.</t>
  </si>
  <si>
    <t>https://www.luckygunner.com/rifle/5.56x45-ammo</t>
  </si>
  <si>
    <t xml:space="preserve">The Spanish Army uses almost exlusively 5.56 mm rounds for Rifles and MGs. </t>
  </si>
  <si>
    <t>Standard price for 84mm anti-tank rounds.</t>
  </si>
  <si>
    <t>60mm Mortar Ammunition And Fuzes (inetres.com)</t>
  </si>
  <si>
    <t>See under M722 WP of the source</t>
  </si>
  <si>
    <t>0,79</t>
  </si>
  <si>
    <t>NATO 150 grain, given by dividing the 12,99 GBP by 20 and converting the price to USD on the 4.07.2022.</t>
  </si>
  <si>
    <t>As the 7.62x51mm NATO caliber is one of the most popular calibers of sniper rifles (see https://en.wikipedia.org/wiki/Sniper_rifle), we apply the price for one round of this caliber here.</t>
  </si>
  <si>
    <t>round of ammuntion for Bunkerfaust</t>
  </si>
  <si>
    <t>According to the Source, one round of the Bunderfaust costs 202 USD.</t>
  </si>
  <si>
    <t xml:space="preserve">The price is an average over the various rounds of ammuntion sent, including small arms rounds, grenades and mortar rounds. </t>
  </si>
  <si>
    <t>S-300 air defence system missile</t>
  </si>
  <si>
    <t xml:space="preserve">https://www.rbth.com/economics/2013/05/15/5_questions_on_russian_s-300_missile_system_sales_to_syria_25027 </t>
  </si>
  <si>
    <t>https://www.amazon.com/Best-Sellers-Medical-Safety-Goggles/zgbs/industrial/11312320011</t>
  </si>
  <si>
    <t>10,00 USD is the average price for medical safety glasses on Amazon.com</t>
  </si>
  <si>
    <t>https://truegunvalue.com/shotgun/mossberg/500/price-historical-value-1217</t>
  </si>
  <si>
    <t>The average retail price over all used Shotguns by the U.S. Military (Mossberg 500, 400 USD; Benelli M4, 1,800 USD) is 1,100 USD.</t>
  </si>
  <si>
    <t>The FIM-92 Stinger is a MANPAD.</t>
  </si>
  <si>
    <t>Main used single shot anti-tank weapon is the M72 LAW.</t>
  </si>
  <si>
    <t>https://priceonomics.com/sleeping-bag-price-guide/</t>
  </si>
  <si>
    <t>http://www.military-today.com/firearms/top_10_sniper_rifles.htm</t>
  </si>
  <si>
    <t>Unit cost for a standard Barrett M82.</t>
  </si>
  <si>
    <t xml:space="preserve">https://www.wikiwand.com/en/RPG-22 </t>
  </si>
  <si>
    <t>Price range from 150 to 220 USD for an advanced model.</t>
  </si>
  <si>
    <t>spare parts MG</t>
  </si>
  <si>
    <t>https://en.wikipedia.org/wiki/Starstreak</t>
  </si>
  <si>
    <t>According to the source, the Starstreak can also be classified as MANPAD, we use the average cost of a FIM-92 Stinger (119,000 USD) and for a Piorun (155,476 USD), giving a proxy of 137,238 USD. Given that the cost of the missile of this system (130,000 USD) is not that far away from a Stinger (119,000 USD), this approach seems to be a proper assumption.</t>
  </si>
  <si>
    <t>sterile needle</t>
  </si>
  <si>
    <t>https://www.paho.org/sites/default/files/RF-SyringePrices-2016-2017-e.pdf</t>
  </si>
  <si>
    <t>The source gives a price range for needles in between 0.02 USD and 0.05 USD. We take the median of 0.035 USD as price estimator.</t>
  </si>
  <si>
    <t>Price for a model used by the Netherlands.</t>
  </si>
  <si>
    <t>https://programs.fas.org/ssp/asmp/issueareas/manpads/black_market_prices.pdf</t>
  </si>
  <si>
    <t>We chose the price for a  "newer-model Strela" to estimate it.</t>
  </si>
  <si>
    <t>https://www.medicalexpo.com/medical-manufacturer/military-stretcher-30275.html</t>
  </si>
  <si>
    <t>Wide range of prices, the average is 100 USD for a medical grade stretcher.</t>
  </si>
  <si>
    <t>https://en.wikipedia.org/wiki/M249_light_machine_gun</t>
  </si>
  <si>
    <t>Price of a typical M249 light machine gun, which is widely used in the US army.</t>
  </si>
  <si>
    <t>AeroVironment Switchblade - Wikipedia</t>
  </si>
  <si>
    <t xml:space="preserve">We assume the price of a Switchblade 300, since we could not find the price of a Switchblade 600. </t>
  </si>
  <si>
    <t>https://en.wikipedia.org/wiki/T-72</t>
  </si>
  <si>
    <t>10 Best Tactical Gloves For 2022 (Military-Grade Gear) (operationmilitarykids.org)</t>
  </si>
  <si>
    <t>We report the price of the Tactical's Hard Times 2.</t>
  </si>
  <si>
    <t>https://rationalinsurgent.com/how-much-does-a-switchblade-drone-cost/</t>
  </si>
  <si>
    <t>The NY Times (https://www.nytimes.com/2022/03/16/us/politics/us-ukraine-weapons-drones.html) lists these drones as being shipped to Ukraine. The Price is listed as 6000 USD in our source.</t>
  </si>
  <si>
    <t>New Army trucks may cost $350,000 each: GAO - MarketWatch</t>
  </si>
  <si>
    <t>https://getnightride.com/blogs/nightride-blog/best-thermal-imaging-camera-value</t>
  </si>
  <si>
    <t>The source mentions a rough estimate that most thermal imaging systems would cost thousands of dollars, and some even up to 5,000 USD. Hence, we use as price estimate this mentioned upper bound.</t>
  </si>
  <si>
    <t>https://www.ers.usda.gov/publications/pub-details/?pubid=43836</t>
  </si>
  <si>
    <t>Cautious estimation based on retail prices of food waste.</t>
  </si>
  <si>
    <t>https://www.globalpetrolprices.com/gasoline_prices/ ; https://aviationbenefits.org/environmental-efficiency/climate-action/sustainable-aviation-fuel/conversions-for-saf/</t>
  </si>
  <si>
    <t>On March 21st, 2022, the average price of 1 liter of fuel was 1.33 USD around the world. One ton of fuel corresponds to 1,250 liters. Hence, 1 ton of fuel has an average price of 1,662.5 USD.</t>
  </si>
  <si>
    <t>https://www.aerzte-ohne-grenzen.de/sites/default/files/mediathek/entity/document/1998-01-bosnia-report-donation-practices.pdf</t>
  </si>
  <si>
    <t>Source 1, Annex 5B Value Estimation cites WHO, IDA, ICRC, World Vision estimates as comparison</t>
  </si>
  <si>
    <t>Source 1, Annex 5B Value Estimation cites WHO, IDA, ICRC, World Vision estimates as comparision.</t>
  </si>
  <si>
    <t>source for the ton of food: https://www.ers.usda.gov/publications/pub-details/?pubid=43836 and source for medical supplies: https://www.aerzte-ohne-grenzen.de/sites/default/files/mediathek/entity/document/1998-01-bosnia-report-donation-practices.pdf</t>
  </si>
  <si>
    <t>Average over tonnage prices of Food (2,000 USD) and Medical Supplies (10,000 USD)</t>
  </si>
  <si>
    <t>https://hcpresources.medtronic.com/blog/high-acuity-ventilator-cost-guide</t>
  </si>
  <si>
    <t>The price can range from 5,000 USD to 50,000 USD. Hence, the mean price is 27,500 USD.</t>
  </si>
  <si>
    <t>wound care pack</t>
  </si>
  <si>
    <t>https://www.racgp.org.au/afp/2014/march/wound-care-costs</t>
  </si>
  <si>
    <t>The source gives a price estimate for wound care products with 9.92 USD.</t>
  </si>
  <si>
    <t xml:space="preserve"> M72 LAW ROCKET TUBE ** $299.00 for sale (gunsamerica.com)</t>
  </si>
  <si>
    <t>We chose this price as an approximation for the missile for Czech-made RM-70 multiple rocket launcher</t>
  </si>
  <si>
    <t>https://military-history.fandom.com/wiki/Panzerhaubitze_2000</t>
  </si>
  <si>
    <t>https://nation-creation.fandom.com/wiki/Modern_Day_Military_Pricing_List</t>
  </si>
  <si>
    <t>https://www.abc.net.au/news/rural/2022-03-22/cost-sending-70000-tonnes-of-coal-to-ukraine/100929070</t>
  </si>
  <si>
    <t>Deducted price from the total value of donation as given by an official source as well as an average between 2 given retail prices</t>
  </si>
  <si>
    <t xml:space="preserve">https://www.army-technology.com/projects/mistral-missile/ </t>
  </si>
  <si>
    <t>Price deducted from a contract Estonia made in 2007 for €60 million (USD 65 million) for 25 Launchers.</t>
  </si>
  <si>
    <t>https://www.amazon.de/-/en/HARD-FFP2-Respirator-Masks-Germany/dp/B09DKV2DMQ/ref=zg_bs_2077677031_1/258-7321365-2030820?pd_rd_i=B098MGPFCH&amp;psc=1</t>
  </si>
  <si>
    <t>Average over retail prices available</t>
  </si>
  <si>
    <t>https://www.amazon.de/s?k=Sleeping+mat&amp;crid=AP6F6KPMMYLL&amp;sprefix=sleeping+mat%2Caps%2C112&amp;ref=nb_sb_noss_1</t>
  </si>
  <si>
    <t>NZDF c-130H Herkules</t>
  </si>
  <si>
    <t>https://www.af.mil/About-Us/Fact-Sheets/Display/Article/1555054/c-130-hercules/</t>
  </si>
  <si>
    <t>https://www.amazon.de/Betten-Schlafzimmer-Wohnen-Lifestyle/b?ie=UTF8&amp;node=343465011</t>
  </si>
  <si>
    <t>Average retail price over available models</t>
  </si>
  <si>
    <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t>
  </si>
  <si>
    <t>A package of 25 sterile wound bandages cost 13 EUR, so that one bandage costs 0.52 EUR, hence 0.57 USD.</t>
  </si>
  <si>
    <t>The Ministry of Defence says that the value of one helmet is 35 EUR, hence 36.95 USD.</t>
  </si>
  <si>
    <t>http://army-warehouse.com/10-servicecard-artikel/226-osterr-bundesheer-splitter-schutzweste-kampfweste-obh.html?msclkid=6fe95c5ecf7111ecbc7bf25f9bd8a5b5</t>
  </si>
  <si>
    <t>The source gives the price for an Austrian ballistic vest to 300 EUR, which is 316.68 USD.</t>
  </si>
  <si>
    <t>It is given that a M777 has a unit cost of 5.17 million USD.</t>
  </si>
  <si>
    <t>https://www.newdelhitimes.com/portuguese-army-acquires-vamtac/</t>
  </si>
  <si>
    <t>According to the source, 139 VAMTACs cost 60.8 million EUR, hence on VAMTAC cost 437,410 EUR, or converted in USD: 461,730</t>
  </si>
  <si>
    <t>https://de.wikipedia.org/wiki/9_%C3%97_19_mm</t>
  </si>
  <si>
    <t>We take as baseline, the value for a rifle + MG round (0.85 USD) and then we use the given source, stating that one standard patron weighs ca. 13 gram. Since one ton is equal to 1 million gram, we can calculate the price per ton.</t>
  </si>
  <si>
    <t>https://military-today.com/artillery/dana.htm</t>
  </si>
  <si>
    <t>https://www.weaponsystems.net/system/467-DD05%20-%20MLRS</t>
  </si>
  <si>
    <t>https://www.made-in-china.com/products-search/hot-china-products/general_purpose_tent_price.html</t>
  </si>
  <si>
    <t>Yugoslav-made M-84 tank</t>
  </si>
  <si>
    <t>Since we found no price for the Yugoslav-made M-84 tanks (that are an updated version of the M-84 tanks), we report the price of a T-72 tank.</t>
  </si>
  <si>
    <t>https://www.merkur.de/wirtschaft/gepard-panzer-waffenlieferungen-technik-ausstattung-bundeswehr-krauss-maffei-wegmann-kmw-muenchen-91502398.html</t>
  </si>
  <si>
    <t>According to the source, a Gepard had a unit cost of about 5.4 million DM in 1976. Converted to EUR and adjusted by inflation this corresponds now to 7.535 million EUR (converted on May 9, 2022 by https://www.altersvorsorge-und-inflation.de/euro-rechner.php?richtung=XXX_EUR&amp;waehrung=DM), which is 7.954 million USD as a unit price.</t>
  </si>
  <si>
    <t>https://www.statista.com/statistics/722992/worldwide-personal-computers-average-selling-price/#:~:text=The%20average%20selling%20price%20of,U.S.%20dollars%20in%20constant%20currency.</t>
  </si>
  <si>
    <t>The average selling price of a desktop PC was 632 USD in 2019.</t>
  </si>
  <si>
    <t>https://leaguefeed.net/how-much-should-you-spend-on-laptop/#:~:text=The%20Average%20Cost%20of%20a%20Laptop,-Let%27s%20leave%20the&amp;text=For%20example%2C%20on%20average%2C%20the,Ultrabooks%20that%20satisfy%20your%20needs.</t>
  </si>
  <si>
    <t>The average selling price of a laptop is given within 600 and 750 USD, hence the average here would be 675 USD.</t>
  </si>
  <si>
    <t>https://www.freshbooks.com/hub/estimates/how-much-does-it-cost-to-build-a-hospital#:~:text=The%20average%20construction%20costs%20for,built%20in%20a%20larger%20city.</t>
  </si>
  <si>
    <t xml:space="preserve">Since the cost is estimated to be between 60 and 190 million USD, we took the average price equal to 125 million USD. </t>
  </si>
  <si>
    <t>10 Best Family Tents (2022 Update) Buyer’s Guide – Best Survival</t>
  </si>
  <si>
    <t>https://thecostguys.com/home/average-cost-of-a-weighted-blanket</t>
  </si>
  <si>
    <t>Average retail price of a five pound weighted blanket</t>
  </si>
  <si>
    <t>https://www.amazon.com/Camouflage-Vest/s?k=Camouflage+Vest&amp;page=3</t>
  </si>
  <si>
    <t>Average Retail price over all available models</t>
  </si>
  <si>
    <t>A total package of 20,000 rounds of ammunition purchased by Canada cost 98 million CAD. Hence, one round costs 4,900 CAD. This is equal to 3,890 USD.</t>
  </si>
  <si>
    <t>https://www.amazon.de/DJI-2S-Drohnen-Quadkopter-3-Achsen-Gimbal-Hindernisvermeidung/dp/B08YR9Z3FJ/ref=sr_1_1?camp=1789&amp;creative=9325&amp;creativeASIN=B01LZ8QTSU&amp;keywords=DJI+-+Mavic+Pro+Quadcopter+with+Remote+Controller+-+Gray&amp;linkCode=gs3&amp;linkId=f11fb4139dd7052abf39ccae8a4dcb41&amp;qid=1654183934&amp;sr=8-1</t>
  </si>
  <si>
    <t>We report the price of the best camera drone in the market, according to https://3dinsider.com/4k-drones/</t>
  </si>
  <si>
    <t xml:space="preserve">https://www.peterdutton.com.au/australia-to-provide-armoured-personnel-carriers-and-more-bushmasters-to-ukraine/ </t>
  </si>
  <si>
    <t xml:space="preserve">According to the Australian Source, 20 Bushmaster Protected Mobility Vehicles </t>
  </si>
  <si>
    <t>http://www.military-today.com/aircraft/bayraktar_tb2.htm</t>
  </si>
  <si>
    <t>The Unit Price is approximatily USD 5 million, according to the Source, which draws the number from unreferenced Ukrainian contracts.</t>
  </si>
  <si>
    <t>http://www.military-today.com/artillery/fh_70.htm#:~:text=According%20to%20Forecast%20International%2C%20the,in%202002%20was%20US%24594%2C000.</t>
  </si>
  <si>
    <t>According to the source, the price of one unit in 2002 was 594,000 USD, which corresponds to 962,280 USD today (according to https://www.in2013dollars.com/us/inflation/2002?amount=1)</t>
  </si>
  <si>
    <t xml:space="preserve">The range of prices for gun sights is too high. If assumed that the gun sight is for the 105mm light field gun, there is no available price. </t>
  </si>
  <si>
    <t>The range of prices for different ammunition types is too high to accurately estimate it.</t>
  </si>
  <si>
    <t>https://www.dsca.mil/press-media/major-arms-sales/egypt-harpoon-block-ii-anti-ship-cruise-missiles</t>
  </si>
  <si>
    <t>The source provides information about a contract between the US and Egypt for 20 Harpoon missiles, 4 Command Launcher Control Systems (representing the accompanying system) and further posts like logistic support with a total volume of 145 million USD. Since we have a price for the missiles (1,406,612 USD per missile), we can calculate the value for the 20 missiles and hence, derive by substracting it from the total value of 145 million USD an upper bound price for the Harpoon missile system, amounting to 29,215,940 USD per system.</t>
  </si>
  <si>
    <t>https://en.wikipedia.org/wiki/Harpoon_(missile)</t>
  </si>
  <si>
    <t>The unit cost of one Harpoon Block II missile is 1,406,812 USD.</t>
  </si>
  <si>
    <t>military trucks</t>
  </si>
  <si>
    <t>As a proxy, we use the price of a Jeep 4x4.</t>
  </si>
  <si>
    <t>Piranha III wheeled armored personnel carrier</t>
  </si>
  <si>
    <t>https://www.deagel.com/Armored%20Vehicles/Piranha%20III/a000564</t>
  </si>
  <si>
    <t>Unit cost of a Piranha III 6x6 wheeled armored personnel carrier, developed by the Swiss company MOWAG, which is also producing the Piranhas for the Danish army.</t>
  </si>
  <si>
    <t>C-90 grenade launcher</t>
  </si>
  <si>
    <t>https://www.elindependiente.com/espana/2022/03/03/estas-son-las-armas-que-mandara-espana-a-la-resistencia-ucraniana-en-el-primer-envio/#:~:text=La%20Junta%20de%20Contrataci%C3%B3n%20del,unitario%20de%202.099%2C35%20euros.</t>
  </si>
  <si>
    <t>The source specifies the unit cost to be 2,099.45 EUR, hence 2,216.07 USD</t>
  </si>
  <si>
    <t>Mi-24 (deagel.com)</t>
  </si>
  <si>
    <t>Browning machine gun</t>
  </si>
  <si>
    <t>rounds of ammunition caliber 12.7</t>
  </si>
  <si>
    <t>https://www.howmuchisit.org/fire-truck-cost/#:~:text=A%20simple%20bush%20fire%20truck%20can%20cost%20%2490%2C000,again%2C%20depending%20on%20its%20outfitting%20and%20the%20type.</t>
  </si>
  <si>
    <t>The price range of a simple Bush Truck lies in between 100'000 and 300'000 EUR. We report therefore an average price of 200'000 EUR</t>
  </si>
  <si>
    <t>https://colemans.com/u-s-g-i-modular-field-kitchen</t>
  </si>
  <si>
    <t>Price of a modular field kitchen of a US manufacturer</t>
  </si>
  <si>
    <t>AS-90</t>
  </si>
  <si>
    <t>https://en.wikipedia.org/wiki/AS-90#:~:text=AS%2D90%20was%20designed%20and,the%20British%20Army%20in%201993.</t>
  </si>
  <si>
    <t xml:space="preserve">According to our source, the company VSEL provided 179 AS-90 vehicles between 1992 and 1996 at a cost of 480 million USD. To calculate the price per unit, we divided the 480 million USD by 179. </t>
  </si>
  <si>
    <t>rounds of ammunition for AS-90</t>
  </si>
  <si>
    <t xml:space="preserve">Impossible to calculate, since we have no information regarding the caliber and the fuse. </t>
  </si>
  <si>
    <t>https://www.defensenews.com/land/2016/12/15/poland-orders-howitzers-in-1-1b-artillery-deal/</t>
  </si>
  <si>
    <t xml:space="preserve">According to the source, the Polish government bought 96 AHS Krab self propelled howitzers for 1,1 billion USD from a local manufacturer. We divided the total price by the number of items to compute the price per unit. </t>
  </si>
  <si>
    <t>https://www.sps-aviation.com/story/?id=649</t>
  </si>
  <si>
    <t>We could not find any price for the IRIS -T SLM system, therefore we use the prise of the very similar Medium Range SAM (MRSAM) as a proxy. In particular, according to the source, a regiment of MRSAM costs around 1,5 billion USD. Since a regiment of anti-aircraft ground based systems is made of 16 units, we derive the price per unit by dividing the total 1,5 billion USD by 16. Probably, the total sum also entails radars and equipment, which we cannot substract, since we could not quantify it.</t>
  </si>
  <si>
    <t>Germany plans to supply Ukraine with COBRA counter-battery radars - Militarnyi</t>
  </si>
  <si>
    <t>Price of a german manufactured artillery radar</t>
  </si>
  <si>
    <t>M270 Multiple Launch Rocket System - MLRS (fas.org)</t>
  </si>
  <si>
    <t xml:space="preserve">As a proxy for the price of the Mars II, we report the price of a M270 Multiple Rocket Launcher, on which the Mars II is based. </t>
  </si>
  <si>
    <t>https://en.wikipedia.org/wiki/M142_HIMARS</t>
  </si>
  <si>
    <t>https://www.thedrive.com/the-war-zone/ukraine-to-get-guided-rockets-but-not-ones-able-to-reach-far-into-russia</t>
  </si>
  <si>
    <t>air-suvreillance radar</t>
  </si>
  <si>
    <t>We report the cost of a round of ammunition of a 155mm howtitzer, so 3,890 USD.</t>
  </si>
  <si>
    <t>M777 155 mm Lightweight Towed Howitzer | Military-Today.com</t>
  </si>
  <si>
    <t>Since we cannot find a price for the M114, we approximate reporting the price of a M777 howitzer, which replaced the old  M198, belonging to the same family of M1, M114 and M198 howitzers</t>
  </si>
  <si>
    <t>https://en.wikipedia.org/wiki/Cougar_(MRAP)</t>
  </si>
  <si>
    <t>We could not find the price of a Mastiff, but we used the price of a Cougar HE 6x6 vehicle, since the Mastiff 6x6 is the British variant of the Cougar HE 6x6.</t>
  </si>
  <si>
    <t>Unit cost in 2011, of an M72 anti-tank grenade launcher.</t>
  </si>
  <si>
    <t>https://en.wikipedia.org/wiki/Carl_Gustaf_8.4_cm_recoilless_rifle</t>
  </si>
  <si>
    <t>Unit cost of a Carl-Gustaf Recoilles Rifle.</t>
  </si>
  <si>
    <t>https://www.wsav.com/news/automatic-weapons-how-tough-is-it-to-buy-one/#:~:text=For%20a%20buyer%2C%20this%20firepower,%246000%20and%20%2440%2C000%20to%20buy.&amp;text=11%2D12%20months%20of%20waiting,paperwork%20and%20full%20background%20check.</t>
  </si>
  <si>
    <t>The source gives the price range for automatic firearms between 6000 USD and 40000 USD. We take the average of 23,000 USD.</t>
  </si>
  <si>
    <t>Price for a standard 9mm small-calibre ammunition is 20,9 EUR for 50 bullets. Hence, 0.418 EUR for one bullet.</t>
  </si>
  <si>
    <t>https://www.fs.fed.us/eng/pubs/html/98241307/98241307.html#:~:text=The%20cost%20of%20rangefinders%20varies,conditions%2C%20size%2C%20and%20weight.</t>
  </si>
  <si>
    <t>The source gives the range of prices for rangefinders in between 60 USD and 12,000 USD. We take as estimate the median of 6,030 USD.</t>
  </si>
  <si>
    <t>Since we could not find a price for the Bunkerfaust, we took the price of a Panzerfaust 2000 as proxy, on which the Bunkerfaust is developed.</t>
  </si>
  <si>
    <t>https://findanyanswer.com/how-much-does-it-cost-to-shoot-a-javelin#:~:text=In%202002%2C%20a%20single%20Javelin%20command%20launch%20unit,cost%20at%20%24206%2C705.%20Click%20to%20see%20full%20answer</t>
  </si>
  <si>
    <t>https://inetres.com/gp/military/infantry/antiarmor/AT4.html#:~:text=The%20AT4-CS%20will%20continue%20to%20be%20the%20U.S.,Classification%20Date%3A%203rd%20Quarter%20FY04.%20Unit%20cost%3A%20%242%2C700</t>
  </si>
  <si>
    <t>The US did not disclosed the type of air-surveillance aradar that they have sent in USM5, therefore, assuming that this is a AN/MPQ-64 Sentinel air surveillance radar, we set the same price.</t>
  </si>
  <si>
    <t>https://www.newcivilengineer.com/latest/hammersmith-bridge-tfl-took-six-months-to-provide-info-on-temporary-crossing-09-09-2020/</t>
  </si>
  <si>
    <t>Estimated cost of a temporary bridge in the UK (27 million GBP), converted to USD on June 1 using: https://sdw.ecb.europa.eu/curConverter.do?sourceAmount=27.0&amp;sourceCurrency=GBP&amp;targetCurrency=USD&amp;inputDate=01-06-2022&amp;submitConvert.x=39&amp;submitConvert.y=5</t>
  </si>
  <si>
    <t>We report the cost of a round of ammunition of a 155mm howtitzer, so 3,890 USD, as the M777 howitzer is a 155mm howitzer.</t>
  </si>
  <si>
    <t>https://en.wikipedia.org/wiki/Agile-class_minesweeper</t>
  </si>
  <si>
    <t>The source provides the information that a minesweeper cost 9 million USD in 1955. This corresponds to 86.94 million USD today (see https://www.in2013dollars.com/us/inflation/1955?endYear=2020&amp;amount=1).</t>
  </si>
  <si>
    <t>https://realestate.usnews.com/real-estate/articles/how-much-does-it-cost-to-buy-a-mobile-home#:~:text=Single%2DWide%20or%20Single%2DSection%20Home,-As%20the%20smaller&amp;text=The%20Census%20Bureau%20reports%20that,was%20%2476%2C400%20in%20November%202021.</t>
  </si>
  <si>
    <t>The average price of a new single-wide manufactured home is given with 76,400 USD according to the source.</t>
  </si>
  <si>
    <t>https://www.ebay.com/b/Military-Gas-Mask/158440/bn_55190958</t>
  </si>
  <si>
    <t>The source provides two prices for a new gas mask: 50 USD and 75 USD. We apply the average of 62.5 USD.</t>
  </si>
  <si>
    <t>http://www.army-guide.com/eng/product1033.html</t>
  </si>
  <si>
    <t>The source provides the average unit costs based on a number of different contracts.</t>
  </si>
  <si>
    <t>https://tvpworld.com/37474331/polish-army-to-receive-100-drones-in-2018</t>
  </si>
  <si>
    <t>Unit cost for a Warmate drone.</t>
  </si>
  <si>
    <t>https://www.foxtechfpv.com/industrial-drone/heavy-lift-drone.html</t>
  </si>
  <si>
    <t>The prices range from 2,000 USD to 16,000 USD. Hence, we apply the average of 9,000 USD.</t>
  </si>
  <si>
    <t>ammunition for High mobility artillery rocket system</t>
  </si>
  <si>
    <t>https://www.dsca.mil/press-media/major-arms-sales/jordan-guided-multiple-launch-rocket-systems-gmlrs-alternate-warhead#:~:text=WASHINGTON%2C%20February%208%2C%202022%20%2D,estimated%20cost%20of%20%2470%20million.</t>
  </si>
  <si>
    <t>The source informs about a contract with a volume of 70 million USD. Jordan bought 114 guided multiple launch rocket systems and 114 reduced range practice rockets. Both rocket types can be used with high mobility artillery rocket systems like the HIMARS 142 multiple rocket launcher. Hence, the average price per high mobility artillery rocket is 307,017 USD.</t>
  </si>
  <si>
    <t>https://www.amazon.de/-/en/Viablue-X-25-SILVER-POWER-CABLE/dp/B07ZYQWPZ9</t>
  </si>
  <si>
    <t>Price for one meter of a Viablue X-25 silver power cable.</t>
  </si>
  <si>
    <t>https://www.angi.com/articles/how-much-does-tv-antenna-installation-cost.htm</t>
  </si>
  <si>
    <t>According to the source, the average cost to purchase and install a TV antenna is 305 USD.</t>
  </si>
  <si>
    <t>https://www.shopping24.de/products?searchTerm=petrol+generator</t>
  </si>
  <si>
    <t>Typical retail prices for a petrol generator range between 150 EUR and more than 1,700 EUR (with some exemptions exceeding this upper bound). We take the median value of 925 EUR as approximation.</t>
  </si>
  <si>
    <t>https://www.vabusinesssystems.com/how-much-does-a-voip-phone-system-cost</t>
  </si>
  <si>
    <t>According to the source, the typical cost for a VoIP phone range between 100 and 200 USD, so we take the average of 150 USD.</t>
  </si>
  <si>
    <t>clothes</t>
  </si>
  <si>
    <t>https://books.google.de/books?id=yLwfAAAAMAAJ&amp;pg=PA1058&amp;lpg=PA1058&amp;dq=66mm+rocket+cost&amp;source=bl&amp;ots=6R5N48jaub&amp;sig=ACfU3U0WpoNaDz-vvRYJb9J-bD1_tUAxXQ&amp;hl=en&amp;sa=X&amp;ved=2ahUKEwiRzq7f0c_4AhWPRPEDHTv_CPEQ6AF6BAgNEAM#v=onepage&amp;q=66mm%20rocket%20cost&amp;f=false</t>
  </si>
  <si>
    <t>A typical light anti-armor weapon is the M72 LAW. This weapon is reloaded with a M72 HEAT rocket, 66mm. The source informs about a US government request to the Congress in 1973 asking for 2,500 new 66mm rocket launchers with a total cost of 1.5 million USD. Hence, one rocket can be quantified with 600 USD. As one dollar in 1973 corresponds to ca. 5.87 USD today (see https://www.in2013dollars.com/us/inflation/1973?endYear=2020&amp;amount=1), we count 600*5.87 = 3.522 USD.</t>
  </si>
  <si>
    <t>https://www.businessinsider.com/armored-car-inkas-sentry-civilian-bulletproof-suv-military-price-2020-9</t>
  </si>
  <si>
    <t>Since Roshel does not provide detailed information regarding its individually designed and produced armored vehicles we relied on the price for an INKA Sentry Civilian, which is normally used by SWAT units from the police. INKA is also a Canadian-based armored vehicle company such as Roshel. We are using this price as an estimator for the Roshel Senator APC.</t>
  </si>
  <si>
    <t>http://www.army-guide.com/eng/product4460.html</t>
  </si>
  <si>
    <t>Average unit costs based on three different contracts.</t>
  </si>
  <si>
    <t>https://en.wikipedia.org/wiki/RPG-7</t>
  </si>
  <si>
    <t>Unit cost for a related RPG-7 85 mm missile serves as an estimation.</t>
  </si>
  <si>
    <t>https://www.ammunitiondepot.com/304-762x39mm</t>
  </si>
  <si>
    <t>A variety of prices, ranging from 0.45 USD per round up to 0.71 USD per round, so we take the median of 0.58 USD per round as approximation.</t>
  </si>
  <si>
    <t>http://www.army-guide.com/eng/product1645.html</t>
  </si>
  <si>
    <t>Average unit costs for a Leopard 2A4 tank, based on eleven different contracts.</t>
  </si>
  <si>
    <t>https://www.globalsecurity.org/military/world/europe/aspide.htm</t>
  </si>
  <si>
    <t>The source mentions that the target price for an Italian Aspide Mk1/Mk2 missile is 100,000 USD. We use this as price estimator.</t>
  </si>
  <si>
    <t>https://weaponsystems.net/system/475-Barrett+M82</t>
  </si>
  <si>
    <t>The source provides the price for a Barrett M82, which is, according to the same source as AG90 rifle used in Sweden. The source quantifies the price to be 9,800 USD in 2007.</t>
  </si>
  <si>
    <t>https://www.dsca.mil/press-media/major-arms-sales/finland-guided-multiple-launch-rocket-system-gmlrs-m31a1-unitary-and</t>
  </si>
  <si>
    <t>The source provides information about a contract with a volume of 150 million USD. This includes the purchase of 90 M31A1 missiles and 150 M30A1 missiles, but also training services as well as engineering and further technical support. To approach the cost of an M31A1 missile, we divide the total amount by the number of missiles (assuming that they roughly cost the same), leading to a cost of 625,000 USD per missile.</t>
  </si>
  <si>
    <t>Unknown price</t>
  </si>
  <si>
    <t>The source gives a price range for syringes in between 0.02 USD and 0.05 USD. We take the median of 0.035 USD as price estimator.</t>
  </si>
  <si>
    <t>88347.31</t>
  </si>
  <si>
    <t>According to the official source, the price for one ambulance from Latvia is 83,693.93 EUR.</t>
  </si>
  <si>
    <t>31.54</t>
  </si>
  <si>
    <t>According to the official source, the price for one stretcher from Latvia is 29.88 EUR.</t>
  </si>
  <si>
    <t>https://www.amazon.com/Radios-Portable-Audio-Video/b?ie=UTF8&amp;node=172681</t>
  </si>
  <si>
    <t>The price vary from 20 USD up to 60 USD (one exemption up to 500 USD). So we report the median of 40 USD.</t>
  </si>
  <si>
    <t>https://truegunvalue.com/rifle/heckler-koch/g3/price-historical-value-645</t>
  </si>
  <si>
    <t>The price reflects a 12 month average price of 1,808.97 USD.</t>
  </si>
  <si>
    <t>https://www.armyrecognition.com/defense_news_january_2021_global_security_army_industry/first_iveco_lmv_2_nec_armored_vehicles_enter_service_with_italian_army.html</t>
  </si>
  <si>
    <t>It is reported that the unit cost for an Iveco LMV 2 is to be estimated to be 500,000 EUR, hence 533,100 USD. We use this as a proxy for the Iveco M 40.12 WM/P 4x4.</t>
  </si>
  <si>
    <t>https://www.amazon.com/-/de/dp/B087LXWY99/ref=sr_1_5?keywords=nitrile+gloves&amp;qid=1654676678&amp;sr=8-5</t>
  </si>
  <si>
    <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t>
  </si>
  <si>
    <t>Bestseller according to amazon.com</t>
  </si>
  <si>
    <t>https://military-history.fandom.com/wiki/Brimstone_(missile)#cite_note-2</t>
  </si>
  <si>
    <t>Conversion on 7.06.2022, with: https://sdw.ecb.europa.eu/curConverter.do?sourceAmount=105&amp;sourceCurrency=GBP&amp;targetCurrency=USD&amp;inputDate=08-06-2022&amp;submitConvert.x=54&amp;submitConvert.y=0</t>
  </si>
  <si>
    <t>https://www.defenseindustrydaily.com/have-guns-will-upgrade-the-m109a6-paladin-pim-partnership-04039/#ContractsandKeyEvents</t>
  </si>
  <si>
    <t xml:space="preserve">The Source lists several past contracts, the per piece price for those ranges between USD 7 million and USD 8 million. We therefore take the average. </t>
  </si>
  <si>
    <t>ammunition for M109 artillery gun</t>
  </si>
  <si>
    <t>We report the cost of a round of ammunition of a 155mm howtitzer, so 3,890 USD, as the M109 howitzer is a 155mm howitzer.</t>
  </si>
  <si>
    <t>https://tanks-encyclopedia.com/modern/south_africa/mamba_apc#:~:text=The%20Mamba%204%C3%974,had%20developed%20at%20the%20time.</t>
  </si>
  <si>
    <t>The source mentions the price of a Mamba 4x4 for 1993, transferred to a corresponding value in 2020 in USD.</t>
  </si>
  <si>
    <t>https://www.amazon.com/camping-shower-tent-Sports-Outdoors/s?k=camping+shower+tent&amp;rh=n%3A3375251</t>
  </si>
  <si>
    <t>Prices range from 40 USD to 150 USD, so we take the average of 95 USD.</t>
  </si>
  <si>
    <t>https://www.canada.ca/en/department-national-defence/news/2022/06/minister-anand-announces-further-military-aid-for-ukraine.html</t>
  </si>
  <si>
    <t>Based on the average conversion rate over the last month (May 9 until June 9, 2022)</t>
  </si>
  <si>
    <t>https://www.tpsgc-pwgsc.gc.ca/app-acq/amd-dp/vbsc-acsv-eng.html</t>
  </si>
  <si>
    <t>Based on the contract for 360 ACSV issued by the Canadian government</t>
  </si>
  <si>
    <t>high-mobility artillery rocket system</t>
  </si>
  <si>
    <t>https://taskandpurpose.com/news/ac-130-gunship-105mm-cannon/</t>
  </si>
  <si>
    <t>https://www.navalnews.com/naval-news/2021/01/u-s-navy-will-not-replace-the-patrol-coastals-with-a-new-boat-of-similar-size-and-type/#:~:text=A%20Patrol%20Coastal%20boat%20has,cost%20around%20%2415%20million%20each.</t>
  </si>
  <si>
    <t>Mi helicopter</t>
  </si>
  <si>
    <t>https://aerocorner.com/aircraft/kazan-mi-17-ii/</t>
  </si>
  <si>
    <t>we consider the price of a Kazan Mi-17 helicopter as an approximation, since it is one of the newest Mi-series.</t>
  </si>
  <si>
    <t>https://www.jpost.com/opinion/op-ed-contributors/bankrupting-terrorism-one-interception-at-a-time</t>
  </si>
  <si>
    <t xml:space="preserve">No specification by the government, Therefore we use the price of an armoured vehicle. </t>
  </si>
  <si>
    <t>https://www.restposten.de/p/sportartikel-gemischt-15418211.html?queryString=paletten%20kleidung</t>
  </si>
  <si>
    <t>Price is originally in EUR. Since we convert only the total sum in USD in the end, we report this single price, by converting (Conversion on the 1.07.2022)</t>
  </si>
  <si>
    <t>unclear.</t>
  </si>
  <si>
    <t>https://www.amazon.de/-/en/Kylietech-Binoculars-Waterproof-Sightseeing-smartphone/dp/B07J6QXBP4/ref=zg_bs_1115610_1/261-6010130-2978053?pd_rd_i=B07J6QXBP4&amp;psc=1</t>
  </si>
  <si>
    <t>Price is originally in EUR. Since we convert only the total sum in USD in the end, we report this single price, by converting  (Conversion on the 1.07.2022)</t>
  </si>
  <si>
    <t>unclear. Details on the items needed.</t>
  </si>
  <si>
    <t>https://www.alibaba.com/product-detail/Medical-Light-CRI-98-LED-Operating_1600478209812.html?spm=a2700.7724857.topad_classic.d_title.4604b2a6oD3NuM</t>
  </si>
  <si>
    <t>https://www.amazon.com/-/de/dp/B07SMXN8PR/ref=zg_bs_3413661_2/139-2167500-7694641?pd_rd_i=B09VBX2J8P&amp;th=1</t>
  </si>
  <si>
    <t>We have chosen the price of the "best seller" article in Amazon.</t>
  </si>
  <si>
    <t>https://dir.indiamart.com/impcat/radio-frequency-systems.html</t>
  </si>
  <si>
    <t>Initial price of 10.000 INR is converted in USD according to our Currency Converter Sheet.</t>
  </si>
  <si>
    <t>https://www.alibaba.com/product-detail/Dust-and-Water-Proof-Military-Radio_62087839225.html?spm=a2700.7724857.normal_offer.d_title.6a042a44heUWWl</t>
  </si>
  <si>
    <t>https://www.varusteleka.com/en/product/field-phone-cable-100-m-300-surplus/70446</t>
  </si>
  <si>
    <t xml:space="preserve"> Since we convert only the total sum in USD in the end, we report this single price, by converting (according to our "Currency conversion" sheet) </t>
  </si>
  <si>
    <t>https://kyiv.mfa.ee/en/2022/02/estonia-and-germany-to-donate-military-field-hospital-to-ukraine/</t>
  </si>
  <si>
    <t xml:space="preserve"> Since we convert only the total sum in USD in the end, we report this single price, by converting (Conversion on the 1.07.2022)</t>
  </si>
  <si>
    <t>https://dronedj.com/2021/08/04/buy-your-own-drone-jamming-gun-on-amazon-but-be-careful/</t>
  </si>
  <si>
    <t>https://www.blautanken.de/adblue-1000-liter-ibc-container-oem/?gclid=Cj0KCQjwntCVBhDdARIsAMEwACk5CvzjsjtbIjYyd1fpO0rAogqNfK3hzDAmmqo_rS87d6nKm3Th7ZsaAhrLEALw_wcB</t>
  </si>
  <si>
    <t>1 Ton = 1096 EUR. Value converted in USD according to our "Currency Converter"</t>
  </si>
  <si>
    <t xml:space="preserve">ration pack </t>
  </si>
  <si>
    <t>https://www.cbc.ca/news/canada/fire-artillery-shells-go-into-service-at-150-000-a-shot-1.756889</t>
  </si>
  <si>
    <t>Ordinary high-explosive artillery rounds.</t>
  </si>
  <si>
    <t>https://www.cbc.ca/news/canada/fire-artillery-shells-go-into-service-at-150-000-a-shot-1.756890</t>
  </si>
  <si>
    <t>As an approximation, we use the price given to artillery ammunition.</t>
  </si>
  <si>
    <t>https://www.amazon.com/-/de/dp/B00NXJDQV0/ref=zg_bs_9931455011_3/139-2167500-7694641?pd_rd_i=B099PJGTQN&amp;th=1</t>
  </si>
  <si>
    <t>https://www.augsburger-allgemeine.de/politik/bewaffnete-drohnen-bundeswehr-deutschland-heron-tp-flugkoerper-id62284321.html#:~:text=Bewaffnete%20Drohnen%20f%C3%BCr%20Bundeswehr%3A%20Heron,Munition%20%22Special%20Payload%22%20zu.</t>
  </si>
  <si>
    <t>Price per unit given by total price/ amount (152/140). Since we convert only the total sum in USD in the end, we report this single price, by converting  (Conversion on the 1.07.2022)</t>
  </si>
  <si>
    <t>https://www.praxisdienst.de/Einrichtung/Ablegen+und+lagern/Medikamentenkuehlschraenke/Liebherr+MKUv+1610+Medikamentenkuehlschrank+mit+Fachboeden.html?speed=1&amp;gclid=Cj0KCQjwntCVBhDdARIsAMEwACmOKJaqbtWlmkE3PwceLhHIP9m3qGdulBKn1kImSy42c3gxKcXCRD4aAhIXEALw_wcB</t>
  </si>
  <si>
    <t xml:space="preserve">Since we convert the total sum from USD to EUR in the main dataset, we report this single price  by converting it (according to our "Currency conversion" sheet) </t>
  </si>
  <si>
    <t>https://www.docmorris.de/fastjekt-300-g-autoinjektor-injlsgim/09738902</t>
  </si>
  <si>
    <t>Since we convert the total sum from USD to EUR in the main dataset, we report this single price  by converting it  (Conversion on the 1.07.2022)</t>
  </si>
  <si>
    <t>https://www.jammer-store.de/Drohne-storsender.html</t>
  </si>
  <si>
    <t>Since we convert the total sum from USD to EUR in the main dataset, we report this single price  by converting it (Conversion on the 1.07.2022)</t>
  </si>
  <si>
    <t>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t>
  </si>
  <si>
    <t xml:space="preserve">Since we convert the total sum from USD to EUR in the main dataset, we report this single price  by converting it (Conversion on the 1.07.2022) </t>
  </si>
  <si>
    <t>field crop seed (per Ton)</t>
  </si>
  <si>
    <t>https://www.extension.iastate.edu/agdm/crops/html/a1-65.html</t>
  </si>
  <si>
    <t>We consider the silage with the highest yield.</t>
  </si>
  <si>
    <t>Same price as MG rounds of ammunition used as approximation</t>
  </si>
  <si>
    <t>https://www.czdefence.com/article/new-self-propelled-howitzers-for-acr-what-would-be-the-cheapest</t>
  </si>
  <si>
    <t>We find the price of one unit by dividing the total of 172 million EUR by 25.</t>
  </si>
  <si>
    <t xml:space="preserve">We report the retail market price of the BMP infantry fighting vehicle as a proxy. </t>
  </si>
  <si>
    <t xml:space="preserve">We report the retail market price of the T72 tank as a proxy. </t>
  </si>
  <si>
    <t>see Source</t>
  </si>
  <si>
    <t xml:space="preserve">The price refers to the military aid reported under SKM7. Slovakia sent 5 helicopers of the type Mi-17 and Mi-2. Since we do not know the amounts by Mi-serie, we compute the average price between an Mi-17 (https://www.outlookindia.com/website/story/india-news-iafs-mi-17v5-all-about-helicopter-that-crashed-carrying-india-first-cds-bipin-rawat/404303#:~:text=The%20Mi%2D17V5%20helicopter%20costs,Iraq%2C%20Czech%20Republic%20and%20Afghanistan.) and a Mi-2 (https://www.globalplanesearch.com/europe/helicopters/mil/mi_2.htm). A Mi-17 amounts to 18,4 million USD, while the price of an Mi-2 is 1,860 million USD. The average price is therefore 10,13 million USD. </t>
  </si>
  <si>
    <t>https://www.deagel.com/Artillery%20Systems/NASAMS/a000380</t>
  </si>
  <si>
    <t>Total bilateral Aid to Ukraine in billion euros</t>
  </si>
  <si>
    <t>Figure 1. Overview: Government support to Ukraine, € billion, Commitments Jan 24  to July 1, 2022.</t>
  </si>
  <si>
    <t>Donor(s)</t>
  </si>
  <si>
    <t>Total aid (€ billion)</t>
  </si>
  <si>
    <t>1st release (commitments from Febr. 24 to March 27)</t>
  </si>
  <si>
    <t>2nd release (commitments from March 28 to April 23 and Jan. 24 to Febr. 23)</t>
  </si>
  <si>
    <t>3rd release (commitments from April 24 to May 10)</t>
  </si>
  <si>
    <t>4th release (commitments from May 11 to June 7)</t>
  </si>
  <si>
    <t>5th release (commitments from June 8 to July 1)</t>
  </si>
  <si>
    <t>Other donor countries*</t>
  </si>
  <si>
    <t>Sum</t>
  </si>
  <si>
    <t>*Other donor countries include the Anglosaxon Countries (except the US), as well as China, Japan, South Korea, Taiwan, Turkey, Norway and Switzerland and India.</t>
  </si>
  <si>
    <t xml:space="preserve">Figure 2. Government support to Ukraine: Type of assistance, € billion, Commitments Jan. 24 to July 1, 2022. </t>
  </si>
  <si>
    <t>Total bilateral aid to Ukraine seperated in Type of aid, in billion euros</t>
  </si>
  <si>
    <t>Total</t>
  </si>
  <si>
    <t>Note: This figure shows total bilateral (government to government) aid commitments to Ukraine across donor governments in billion Euros between January 24 and July 1, 2022. Each bar shows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Please refer to the main text and our dataset for details on data collection and sources. </t>
  </si>
  <si>
    <t>Total bilateral Aid in percent of donor GDP</t>
  </si>
  <si>
    <t>Figure 3. Government support to Ukraine - as percent of donor country GDP, Commitments Jan. 24 to July 1, 2022.</t>
  </si>
  <si>
    <t>Bilateral aid (percent of GDP)</t>
  </si>
  <si>
    <t>Note: This figure ranks countries by the scale of bilateral aid as percentage share of each donor’s GDP. We consider total commitments to Ukraine between January 24 and July 1, 2022. The data on GDP (current US$) is for 2020 and taken from the World Bank. See the main text for details on data collection and sources.</t>
  </si>
  <si>
    <t xml:space="preserve">Figure 4. Government support to Ukraine including EU share, Commitments Jan 24 to July 1, 2022. </t>
  </si>
  <si>
    <t>Bilateral aid, percent of GDP</t>
  </si>
  <si>
    <t>Share EU aid (incl. MFA Program, EPF and EIB), percent of GDP</t>
  </si>
  <si>
    <t>Total aid (Percent of GDP)</t>
  </si>
  <si>
    <t>Note: Includes bilateral commitments to Ukraine. Does not include private donations, support for refugees outside of Ukraine, and aid by international organziations.</t>
  </si>
  <si>
    <t xml:space="preserve">Figure 5. Military Aid (including financial) in € billion (top 20 donors), Commitments Jan 24 to July 1, 2022. </t>
  </si>
  <si>
    <t>Weapons and equipment (specific items committed)</t>
  </si>
  <si>
    <t>Financial aid with military purpose (e.g. to finance future weapon purchase)</t>
  </si>
  <si>
    <t>Military aid (disclosed commitments only)</t>
  </si>
  <si>
    <r>
      <t>Note:</t>
    </r>
    <r>
      <rPr>
        <sz val="12"/>
        <rFont val="Calibri"/>
        <family val="2"/>
        <scheme val="minor"/>
      </rPr>
      <t xml:space="preserve"> This figure shows a ranking of the 15 Western governments (out of 31) that have offered military aid to Ukraine between January 24 and April 23, 2022. We exclude humanitarian and financial aid and do not consider EU (Commission and Council) contributions. </t>
    </r>
  </si>
  <si>
    <t xml:space="preserve">Note: This figure shows a ranking of the top 20 Western governments that have offered military aid in the form of Weapons and Equipment and Financial Aid with Military purpose to Ukraine between January 24 and July 1 (bilateral disclosed military commitments only). To avoid double counting, we do not include EU (Commission and Council) contributions. Financial commitments that are made explicitly for military purposes and weapons purchases are counted as military aid. </t>
  </si>
  <si>
    <t xml:space="preserve">Figure 6. Financial aid in € billion (top 20 donors), Commitments Jan 24 to July 1, 2022. </t>
  </si>
  <si>
    <t>Total bilateral financial aid, seperated into loans, grants, guarantees, swap-lines and remaining</t>
  </si>
  <si>
    <t>Loans</t>
  </si>
  <si>
    <t>Grants</t>
  </si>
  <si>
    <t>Guarantees</t>
  </si>
  <si>
    <t>Central Bank Swap Line</t>
  </si>
  <si>
    <t>Total Financial Commitments</t>
  </si>
  <si>
    <t>Note: This figure shows a ranking of the top 20 donors that have offered financial assistance in the form of loans (blue segments), grants (green segments), central bank swap-lines (red) and financial guarantees (grey) to Ukraine between January 24 and July 1, 2022 (bilateral disclosed financial commitments only, in billion Euros). See the main text for details on data collection and sources.</t>
  </si>
  <si>
    <t>In-kind military aid commitments and deliveries</t>
  </si>
  <si>
    <t>Figure 7. In-kind military aid commitments and deliveries in € billion - Top 20 donor countries, Commitments Jan 24 to July 1, 2022.</t>
  </si>
  <si>
    <t>Committed military in-kind aid (disclosed commitments only)</t>
  </si>
  <si>
    <t>Delivered military in-kind aid (disclosed deliveries only)</t>
  </si>
  <si>
    <t>Share of committed aid delivered</t>
  </si>
  <si>
    <t xml:space="preserve">Note: This figure shows a ranking of the top 20 donors that have committed military in-kind assistance to Ukraine between January 24 and July 1, 2022 (bilateral disclosed financial commitments only, in billion Euros). The blue bars indicate the total value of commitments, while the green bars refer to the value deliveries. See the main text for details on data collection and sources. </t>
  </si>
  <si>
    <t>Ukraines state budget financing since the beginning of the war</t>
  </si>
  <si>
    <t>Source of disbursed budgetary support:</t>
  </si>
  <si>
    <t xml:space="preserve">Figure 8. Foreign budgetary support to Ukraine: commitments vs. disbursements in € billion, Commitments Jan 24 to June 28, 2022. </t>
  </si>
  <si>
    <t>Committed but undisbursed budgetary support</t>
  </si>
  <si>
    <t>Committed budgetary support</t>
  </si>
  <si>
    <t>Disbursed budgetary support</t>
  </si>
  <si>
    <t>Total Budgetary Aid</t>
  </si>
  <si>
    <t xml:space="preserve">Share of committed support disbursed </t>
  </si>
  <si>
    <t>EU Institutions (MFA and EIB)</t>
  </si>
  <si>
    <t>Note: This figure shows a ranking of the donors (out of 41 donors in our main dataset) that have offered foreign budgetary support to Ukraine between January 24 and June 28, 2022 (bilateral disclosed financial commitments only, in billion Euros). For each country, adding up the blue (delivered or disbursed) and green (to be delivered or disbursed) segments gives the total amount of financial commitments referring to budgetary support. The data for disbursements comes from the Ministry of Finance of Ukraine (2022a). See the main text for details on data collection and sources.</t>
  </si>
  <si>
    <t>Figure 9. Rough cost estimates for hosting Ukrainian refugees in billion Euros (Top 15 of 37 countries), Commitments Jan 24 to June 28, 2022.</t>
  </si>
  <si>
    <t>Refugee Cost Estimation</t>
  </si>
  <si>
    <t>Number of Refugees (February 24, 2022 - June 28, 2022)</t>
  </si>
  <si>
    <t>Lower bound refugee cost estimate in € billion: assuming €250 per refugee per month (for 4 months)</t>
  </si>
  <si>
    <t>Baseline refugee cost estimate in € billion: assuming €500 per refugee per month (for 4 months)</t>
  </si>
  <si>
    <t>Upper bound refugee cost estimate in € billion: assuming €750 per refugee per month (for 4 months)</t>
  </si>
  <si>
    <t xml:space="preserve">Note: This figure shows the total costs paid by each country for welcoming refugees until June 28, 2022. The total cost has been computed by using country-level data provided by UNHCR (2022a) on Ukrainian refugees, along with three different estimates for monthly refugee cost (€250, €500, and €750). See the main text for details. </t>
  </si>
  <si>
    <t>Adding bilateral aid and rough refugee cost estimate (Top 15 of 37 donor countries)</t>
  </si>
  <si>
    <t>Figure 10. Adding bilateral aid and rough refugee cost estimate (Top 20 donor countries)</t>
  </si>
  <si>
    <t>Number of Refugees</t>
  </si>
  <si>
    <t>Refugee cost (rough, baseline estimate)</t>
  </si>
  <si>
    <t>Overall Total</t>
  </si>
  <si>
    <t xml:space="preserve">Note: This figure shows aid to Ukraine and incoming Ukrainian refugees until June 28, 2022. Each bar besides illustrates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Assistance to refugees is estimated with country-level data provided by UNHCR (2022a), and an estimate of the monthly cost per refugee of €500 (see main text). </t>
  </si>
  <si>
    <t>Figure 11. Government support including estimated refugee costs - percent of donor GDP</t>
  </si>
  <si>
    <t>Refugee costs (percent of GDP, rough baseline estimate)</t>
  </si>
  <si>
    <t xml:space="preserve">Note: This figure shows the bilateral aid committed to Ukraine and the assistance provided to Ukrainian refuges until June 28, 2022, all in percent of the donor country’s GDP. Assistance to refugees is estimated with country-level data provided by UNHCR (2022a), and an estimate of the monthly cost per refugee of €500. The data on GDP (current US$) is for 2020 and is taken from the World Bank. See the main text for details on data collection and sources. </t>
  </si>
  <si>
    <t>Total bilateral Aid (billions of EUR)</t>
  </si>
  <si>
    <t xml:space="preserve">Figure A1. Government support to Ukraine: In € billion, incl. EU share, Commitments Jan 24 to July 1, 2022. </t>
  </si>
  <si>
    <t>Bilateral government support</t>
  </si>
  <si>
    <t xml:space="preserve">Note: This figure shows a ranking of bilateral commitments after accounting for EU-level aid and financing vehicles. We assign EU-level commitments as follows: EU commitments (European Peace Facility, humanitarian aid), MFA and EPF are allotted based on each member country’s relative contribution to the EU budget. Similarly, we assign EIB commitments using each country weight in the EIB’s capital subscription shares. See the main text for details on data collection and sources. </t>
  </si>
  <si>
    <t>Total bilateral Aid pledged during "Stand up for Ukraine" Event</t>
  </si>
  <si>
    <t>Figure A2. “Stand up for Ukraine” Country pledges (in billion Euros)</t>
  </si>
  <si>
    <t>Pledged to Ukraine</t>
  </si>
  <si>
    <t>Not pledged to Ukraine</t>
  </si>
  <si>
    <t>Pledge in billion EUR</t>
  </si>
  <si>
    <t>European Commission</t>
  </si>
  <si>
    <t>EBRD</t>
  </si>
  <si>
    <t>Council of Europe Bank</t>
  </si>
  <si>
    <t>Qatar</t>
  </si>
  <si>
    <t>SUM</t>
  </si>
  <si>
    <t xml:space="preserve">Note: This figure shows the country pledges during the “Stand up for Ukraine” event that took place on April 9, 2022, in Warsaw. The pledges are seperated into assistance to Ukraine (for internally displayed civilians; brown) and to other countries (for refugees outside Ukraine; green). </t>
  </si>
  <si>
    <t>EU Budget Contributions by Member Country in 2020</t>
  </si>
  <si>
    <t xml:space="preserve">Source: </t>
  </si>
  <si>
    <t xml:space="preserve">https://ec.europa.eu/info/sites/default/files/about_the_european_commission/eu_budget/2021-06-09_spending_and_revenue.xlsx </t>
  </si>
  <si>
    <t>Contribution to EU Budget in billion EUR</t>
  </si>
  <si>
    <t>Country Share on total EU Budget</t>
  </si>
  <si>
    <t>Share of EU Aid in billion EUR</t>
  </si>
  <si>
    <t>27 Countries total</t>
  </si>
  <si>
    <t>Breakdown of the EPF contributions</t>
  </si>
  <si>
    <t>Source:</t>
  </si>
  <si>
    <t>https://eur-lex.europa.eu/legal-content/EN/TXT/HTML/?uri=CELEX:32021D0509&amp;from=EN#d1e1170-14-1  (Preamble, (19))</t>
  </si>
  <si>
    <t>GNI in current USD</t>
  </si>
  <si>
    <t>GNI in EUR</t>
  </si>
  <si>
    <t>GNI in billion EUR</t>
  </si>
  <si>
    <t>Share of GNI</t>
  </si>
  <si>
    <t>Breakdown of the EIB's capital as of 1 March 2020</t>
  </si>
  <si>
    <t>https://www.eib.org/en/about/governance-and-structure/shareholders/index.htm</t>
  </si>
  <si>
    <t>Subscribed capital in EUR</t>
  </si>
  <si>
    <t>Country Capital Share</t>
  </si>
  <si>
    <t>Share of EIB Aid in billion EUR</t>
  </si>
  <si>
    <t>Total Financial Aid</t>
  </si>
  <si>
    <t>Refugee Number and Cost estimation</t>
  </si>
  <si>
    <t>https://data.unhcr.org/en/situations/ukraine</t>
  </si>
  <si>
    <t>Number of Refugees on (February - June)</t>
  </si>
  <si>
    <t>Refugee Costs in billion EUR (500 EUR per Refugee per Month for 4 Months)</t>
  </si>
  <si>
    <t>Refugee Costs in % of GDP (500 EUR per Refugee per Month for 4 Months)</t>
  </si>
  <si>
    <t>Moldova</t>
  </si>
  <si>
    <t>Belarus</t>
  </si>
  <si>
    <t>Arms and Equipment (unadjusted, billion EUR)</t>
  </si>
  <si>
    <t>Manual adjustment (billion EUR)</t>
  </si>
  <si>
    <t>Explanation for manual adjustments</t>
  </si>
  <si>
    <t>(ID: CAM9) Canada announced to provide 500 million CAD (368.5 million EUR) within the budget of the fiscal year in 2022-2023. Given that so far, this budget was only exploited with an amount of 75.9 million EUR, we need to substract the remaining 292.6 million EUR as being so far not specifically tied to weapon and equipment delivery commitments.</t>
  </si>
  <si>
    <t>(ID: DEM2) Chancellor Scholz announced to provide 1.2 billion EUR in "Ertüchtigungshilfe" for Ukraine (ID: DEM2). However, the value of the weapons committed is 435.600 million USD (351.2 million EUR), so we need to substract the remaining 764,4 million EUR as being so far not specifically tied to weapon and equipment delivery commitments.</t>
  </si>
  <si>
    <t>(ID: UKM9, UKM10) The UK announced to provide 1.3 billion GBP (1.53 billion EUR) as weapons and equipment deliveries (ID: UKM9). However, the value of the weapons committed so far can be calculated to 261.18 million EUR. Hence, we need to substract the remaining 1.26 billion EUR (as being so far not specifically tied to weapon and equipment delivery commitments) and the newly pledged 1.4 billion EUR (UKM10), which are not tight to any military in-kind donation yet.</t>
  </si>
  <si>
    <t xml:space="preserve">(ID: UMS4, USM5, USM6) As part of the budget allocated through the "Additional Ukraine Supplemental Act", the president has a drawdown authority, amounting to 11 billion USD (10.35 billion EUR) that will be used to provide weapons and equipment to Ukraine (ID: USM4). Also, the US finances the shipments of new weapons through the USAI Authority (ID: USM5, 6 billion USD) and the Foreign Military Program (ID: USM6, 4 billion USD). So far, the US allocated 1,550 billion USD (financed through Presidential Drawdown Authority), 1,720 billion USD (financed through USAI) and 600 million USD, financed through the Foreign Military Fininacing Program. </t>
  </si>
  <si>
    <t>January</t>
  </si>
  <si>
    <t>February</t>
  </si>
  <si>
    <t>March</t>
  </si>
  <si>
    <t>April</t>
  </si>
  <si>
    <t>May</t>
  </si>
  <si>
    <t>June</t>
  </si>
  <si>
    <t>July</t>
  </si>
  <si>
    <t>Sum of commitments per month</t>
  </si>
  <si>
    <t>Average commitment size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</si>
</sst>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
    <numFmt numFmtId="165" formatCode="0.0000"/>
    <numFmt numFmtId="166" formatCode="0.00000"/>
    <numFmt numFmtId="167" formatCode="#,##0.0000"/>
    <numFmt numFmtId="168" formatCode="#,##0.00\ _€"/>
    <numFmt numFmtId="169" formatCode="#,##0\ _€"/>
    <numFmt numFmtId="170" formatCode="0.0"/>
  </numFmts>
  <fonts count="9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u/>
      <sz val="12"/>
      <color theme="10"/>
      <name val="Calibri"/>
      <family val="2"/>
      <scheme val="minor"/>
    </font>
    <font>
      <sz val="8"/>
      <name val="Calibri"/>
      <family val="2"/>
      <scheme val="minor"/>
    </font>
    <font>
      <sz val="12"/>
      <color rgb="FF333333"/>
      <name val="Calibri"/>
      <family val="2"/>
      <scheme val="minor"/>
    </font>
    <font>
      <sz val="12"/>
      <name val="Calibri"/>
      <family val="2"/>
      <scheme val="minor"/>
    </font>
    <font>
      <b/>
      <sz val="12"/>
      <color theme="1"/>
      <name val="Calibri"/>
      <family val="2"/>
      <scheme val="minor"/>
    </font>
    <font>
      <sz val="12"/>
      <color theme="1"/>
      <name val="Calibri"/>
      <family val="2"/>
      <scheme val="minor"/>
    </font>
    <font>
      <sz val="12"/>
      <color rgb="FF212529"/>
      <name val="Calibri"/>
      <family val="2"/>
      <scheme val="minor"/>
    </font>
    <font>
      <sz val="12"/>
      <color rgb="FF00202F"/>
      <name val="Calibri"/>
      <family val="2"/>
      <scheme val="minor"/>
    </font>
    <font>
      <sz val="10"/>
      <name val="Arial"/>
      <family val="2"/>
    </font>
    <font>
      <sz val="11"/>
      <color theme="1"/>
      <name val="Calibri"/>
      <family val="2"/>
      <scheme val="minor"/>
    </font>
    <font>
      <b/>
      <sz val="11"/>
      <color theme="1"/>
      <name val="Calibri"/>
      <family val="2"/>
      <scheme val="minor"/>
    </font>
    <font>
      <sz val="11"/>
      <name val="Times New Roman"/>
      <family val="1"/>
    </font>
    <font>
      <sz val="12"/>
      <color theme="1"/>
      <name val="Times Roman"/>
    </font>
    <font>
      <sz val="10"/>
      <name val="Times Roman"/>
    </font>
    <font>
      <sz val="11"/>
      <color theme="1"/>
      <name val="Times Roman"/>
    </font>
    <font>
      <sz val="11"/>
      <name val="Times Roman"/>
    </font>
    <font>
      <b/>
      <sz val="11"/>
      <name val="Times Roman"/>
    </font>
    <font>
      <sz val="11"/>
      <color rgb="FF000000"/>
      <name val="Times Roman"/>
    </font>
    <font>
      <i/>
      <sz val="11"/>
      <name val="Times Roman"/>
    </font>
    <font>
      <i/>
      <sz val="11"/>
      <color rgb="FF000000"/>
      <name val="Times Roman"/>
    </font>
    <font>
      <b/>
      <u/>
      <sz val="11"/>
      <color rgb="FF000000"/>
      <name val="Times Roman"/>
    </font>
    <font>
      <b/>
      <u/>
      <sz val="11"/>
      <name val="Times Roman"/>
    </font>
    <font>
      <b/>
      <sz val="12"/>
      <name val="Times Roman"/>
    </font>
    <font>
      <sz val="12"/>
      <color rgb="FF000000"/>
      <name val="Times Roman"/>
    </font>
    <font>
      <b/>
      <sz val="16"/>
      <color rgb="FF000000"/>
      <name val="Times Roman"/>
    </font>
    <font>
      <u/>
      <sz val="12"/>
      <color rgb="FF0563C1"/>
      <name val="Calibri"/>
      <family val="2"/>
      <scheme val="minor"/>
    </font>
    <font>
      <sz val="11"/>
      <name val="Calibri"/>
      <family val="2"/>
      <scheme val="minor"/>
    </font>
    <font>
      <sz val="12"/>
      <color theme="1"/>
      <name val="Times New Roman"/>
      <family val="1"/>
    </font>
    <font>
      <sz val="11"/>
      <color rgb="FF000000"/>
      <name val="Times New Roman"/>
      <family val="1"/>
    </font>
    <font>
      <sz val="12"/>
      <color rgb="FF000000"/>
      <name val="Calibri"/>
      <family val="2"/>
    </font>
    <font>
      <sz val="12"/>
      <color rgb="FF333333"/>
      <name val="Calibri"/>
      <family val="2"/>
    </font>
    <font>
      <b/>
      <sz val="12"/>
      <color rgb="FF000000"/>
      <name val="Calibri"/>
      <family val="2"/>
    </font>
    <font>
      <u/>
      <sz val="12"/>
      <color rgb="FF0563C1"/>
      <name val="Calibri"/>
      <family val="2"/>
    </font>
    <font>
      <sz val="11"/>
      <color rgb="FF000000"/>
      <name val="Calibri"/>
      <family val="2"/>
      <scheme val="minor"/>
    </font>
    <font>
      <b/>
      <sz val="12"/>
      <name val="Calibri"/>
      <family val="2"/>
    </font>
    <font>
      <b/>
      <sz val="11"/>
      <color rgb="FF000000"/>
      <name val="Times Roman"/>
    </font>
    <font>
      <u/>
      <sz val="11"/>
      <color rgb="FF0563C1"/>
      <name val="Times Roman"/>
    </font>
    <font>
      <sz val="12"/>
      <color rgb="FF000000"/>
      <name val="Calibri"/>
      <family val="2"/>
      <charset val="1"/>
    </font>
    <font>
      <sz val="11"/>
      <color theme="1"/>
      <name val="Times New Roman"/>
      <family val="1"/>
    </font>
    <font>
      <b/>
      <sz val="12"/>
      <color rgb="FF000000"/>
      <name val="Calibri"/>
      <family val="2"/>
      <scheme val="minor"/>
    </font>
    <font>
      <i/>
      <sz val="12"/>
      <color rgb="FF000000"/>
      <name val="Calibri"/>
      <family val="2"/>
    </font>
    <font>
      <b/>
      <sz val="11"/>
      <name val="Times New Roman"/>
      <family val="1"/>
    </font>
    <font>
      <i/>
      <u/>
      <sz val="11"/>
      <name val="Times New Roman"/>
      <family val="1"/>
    </font>
    <font>
      <i/>
      <sz val="11"/>
      <name val="Times New Roman"/>
      <family val="1"/>
    </font>
    <font>
      <u/>
      <sz val="11"/>
      <name val="Times New Roman"/>
      <family val="1"/>
    </font>
    <font>
      <u/>
      <sz val="11"/>
      <color theme="1"/>
      <name val="Times New Roman"/>
      <family val="1"/>
    </font>
    <font>
      <i/>
      <sz val="11"/>
      <color theme="1"/>
      <name val="Times New Roman"/>
      <family val="1"/>
    </font>
    <font>
      <i/>
      <u/>
      <sz val="11"/>
      <color theme="1"/>
      <name val="Times New Roman"/>
      <family val="1"/>
    </font>
    <font>
      <b/>
      <sz val="13"/>
      <color theme="1"/>
      <name val="Times New Roman"/>
      <family val="1"/>
    </font>
    <font>
      <b/>
      <sz val="11"/>
      <name val="Calibri"/>
      <family val="2"/>
      <scheme val="minor"/>
    </font>
    <font>
      <sz val="9"/>
      <color indexed="81"/>
      <name val="Tahoma"/>
      <family val="2"/>
    </font>
    <font>
      <b/>
      <sz val="9"/>
      <color indexed="81"/>
      <name val="Tahoma"/>
      <family val="2"/>
    </font>
    <font>
      <u/>
      <sz val="11"/>
      <color theme="10"/>
      <name val="Calibri"/>
      <family val="2"/>
      <scheme val="minor"/>
    </font>
    <font>
      <sz val="11"/>
      <color rgb="FF000000"/>
      <name val="Calibri"/>
      <family val="2"/>
    </font>
    <font>
      <u/>
      <sz val="11"/>
      <color rgb="FF0563C1"/>
      <name val="Calibri"/>
      <family val="2"/>
    </font>
    <font>
      <b/>
      <u/>
      <sz val="11"/>
      <color rgb="FFFFFFFF"/>
      <name val="Times Roman"/>
    </font>
    <font>
      <sz val="11"/>
      <color rgb="FF444444"/>
      <name val="Calibri"/>
      <family val="2"/>
      <charset val="1"/>
    </font>
    <font>
      <i/>
      <sz val="12"/>
      <name val="Calibri"/>
      <family val="2"/>
      <scheme val="minor"/>
    </font>
    <font>
      <u/>
      <sz val="12"/>
      <color theme="2" tint="-0.249977111117893"/>
      <name val="Calibri"/>
      <family val="2"/>
      <scheme val="minor"/>
    </font>
    <font>
      <sz val="12"/>
      <color theme="2" tint="-0.249977111117893"/>
      <name val="Calibri"/>
      <family val="2"/>
      <scheme val="minor"/>
    </font>
    <font>
      <b/>
      <sz val="12"/>
      <color theme="2" tint="-0.249977111117893"/>
      <name val="Calibri"/>
      <family val="2"/>
      <scheme val="minor"/>
    </font>
    <font>
      <b/>
      <i/>
      <sz val="12"/>
      <color rgb="FF000000"/>
      <name val="Calibri"/>
      <family val="2"/>
      <scheme val="minor"/>
    </font>
    <font>
      <i/>
      <sz val="12"/>
      <color theme="1"/>
      <name val="Calibri"/>
      <family val="2"/>
      <scheme val="minor"/>
    </font>
    <font>
      <b/>
      <sz val="12"/>
      <color rgb="FF202122"/>
      <name val="Calibri"/>
      <family val="2"/>
      <scheme val="minor"/>
    </font>
    <font>
      <b/>
      <sz val="12"/>
      <name val="Calibri"/>
      <family val="2"/>
      <scheme val="minor"/>
    </font>
    <font>
      <sz val="12"/>
      <color rgb="FF202122"/>
      <name val="Calibri"/>
      <family val="2"/>
      <scheme val="minor"/>
    </font>
    <font>
      <b/>
      <i/>
      <sz val="12"/>
      <color theme="1"/>
      <name val="Calibri"/>
      <family val="2"/>
      <scheme val="minor"/>
    </font>
    <font>
      <sz val="12"/>
      <name val="Calibri"/>
      <family val="2"/>
    </font>
    <font>
      <sz val="12"/>
      <color theme="1"/>
      <name val="Times New Roman"/>
    </font>
    <font>
      <b/>
      <u/>
      <sz val="11"/>
      <color rgb="FFFFFF00"/>
      <name val="Times Roman"/>
    </font>
    <font>
      <b/>
      <sz val="16"/>
      <color theme="1"/>
      <name val="Calibri"/>
      <family val="2"/>
      <scheme val="minor"/>
    </font>
    <font>
      <b/>
      <sz val="18"/>
      <color theme="1"/>
      <name val="Calibri"/>
      <family val="2"/>
      <scheme val="minor"/>
    </font>
    <font>
      <b/>
      <sz val="18"/>
      <name val="Calibri"/>
      <family val="2"/>
    </font>
    <font>
      <b/>
      <sz val="22"/>
      <color theme="1"/>
      <name val="Calibri"/>
      <family val="2"/>
      <scheme val="minor"/>
    </font>
    <font>
      <b/>
      <sz val="20"/>
      <color theme="1"/>
      <name val="Calibri"/>
      <family val="2"/>
      <scheme val="minor"/>
    </font>
    <font>
      <sz val="1"/>
      <color theme="1"/>
      <name val="Calibri"/>
      <family val="2"/>
      <scheme val="minor"/>
    </font>
    <font>
      <b/>
      <sz val="16"/>
      <name val="Calibri"/>
      <family val="2"/>
      <scheme val="minor"/>
    </font>
    <font>
      <sz val="14"/>
      <color rgb="FFFF0000"/>
      <name val="Times Roman"/>
    </font>
    <font>
      <sz val="14"/>
      <color rgb="FF000000"/>
      <name val="Times New Roman"/>
      <family val="1"/>
    </font>
    <font>
      <sz val="12"/>
      <color rgb="FF202122"/>
      <name val="Calibri"/>
    </font>
    <font>
      <sz val="12"/>
      <color rgb="FF262626"/>
      <name val="Calibri"/>
      <family val="2"/>
    </font>
    <font>
      <sz val="12"/>
      <color rgb="FF111314"/>
      <name val="Calibri"/>
      <family val="2"/>
    </font>
    <font>
      <sz val="12"/>
      <color rgb="FF000000"/>
      <name val="Times New Roman"/>
      <family val="1"/>
    </font>
    <font>
      <b/>
      <sz val="13"/>
      <color theme="1"/>
      <name val="Times New Roman"/>
    </font>
    <font>
      <i/>
      <u/>
      <sz val="11"/>
      <color theme="1"/>
      <name val="Times New Roman"/>
    </font>
    <font>
      <sz val="11"/>
      <color theme="1"/>
      <name val="Times New Roman"/>
    </font>
    <font>
      <sz val="12"/>
      <color rgb="FF000000"/>
      <name val="Calibri"/>
      <charset val="1"/>
    </font>
    <font>
      <sz val="12"/>
      <color rgb="FFFF0000"/>
      <name val="Calibri"/>
    </font>
    <font>
      <sz val="11"/>
      <color rgb="FF000000"/>
      <name val="Times New Roman"/>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
      <patternFill patternType="solid">
        <fgColor theme="0"/>
        <bgColor rgb="FF000000"/>
      </patternFill>
    </fill>
    <fill>
      <patternFill patternType="solid">
        <fgColor theme="2"/>
        <bgColor indexed="64"/>
      </patternFill>
    </fill>
    <fill>
      <patternFill patternType="solid">
        <fgColor rgb="FFF4B084"/>
        <bgColor indexed="64"/>
      </patternFill>
    </fill>
    <fill>
      <patternFill patternType="solid">
        <fgColor rgb="FF000000"/>
        <bgColor indexed="64"/>
      </patternFill>
    </fill>
    <fill>
      <patternFill patternType="solid">
        <fgColor rgb="FFFF0000"/>
        <bgColor indexed="64"/>
      </patternFill>
    </fill>
    <fill>
      <patternFill patternType="solid">
        <fgColor rgb="FF00B050"/>
        <bgColor indexed="64"/>
      </patternFill>
    </fill>
    <fill>
      <patternFill patternType="solid">
        <fgColor rgb="FF4472C4"/>
        <bgColor indexed="64"/>
      </patternFill>
    </fill>
    <fill>
      <patternFill patternType="solid">
        <fgColor theme="2"/>
        <bgColor rgb="FF000000"/>
      </patternFill>
    </fill>
  </fills>
  <borders count="41">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rgb="FFD0CECE"/>
      </left>
      <right style="thin">
        <color rgb="FFD0CECE"/>
      </right>
      <top style="thin">
        <color rgb="FFD0CECE"/>
      </top>
      <bottom style="thin">
        <color rgb="FFD0CECE"/>
      </bottom>
      <diagonal/>
    </border>
    <border>
      <left/>
      <right/>
      <top/>
      <bottom style="thin">
        <color rgb="FF000000"/>
      </bottom>
      <diagonal/>
    </border>
    <border>
      <left/>
      <right/>
      <top/>
      <bottom style="thin">
        <color indexed="64"/>
      </bottom>
      <diagonal/>
    </border>
    <border>
      <left/>
      <right style="thin">
        <color rgb="FFD0CECE"/>
      </right>
      <top style="thin">
        <color rgb="FFD0CECE"/>
      </top>
      <bottom style="thin">
        <color rgb="FFD0CECE"/>
      </bottom>
      <diagonal/>
    </border>
    <border>
      <left/>
      <right style="thin">
        <color theme="2" tint="-9.9948118533890809E-2"/>
      </right>
      <top style="thin">
        <color theme="2" tint="-9.9948118533890809E-2"/>
      </top>
      <bottom/>
      <diagonal/>
    </border>
    <border>
      <left/>
      <right style="thin">
        <color theme="2" tint="-9.9948118533890809E-2"/>
      </right>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style="thin">
        <color rgb="FFD0CECE"/>
      </left>
      <right style="thin">
        <color rgb="FFD0CECE"/>
      </right>
      <top/>
      <bottom style="thin">
        <color rgb="FFD0CECE"/>
      </bottom>
      <diagonal/>
    </border>
    <border>
      <left style="thin">
        <color theme="2" tint="-9.9948118533890809E-2"/>
      </left>
      <right/>
      <top style="thin">
        <color theme="2" tint="-9.9948118533890809E-2"/>
      </top>
      <bottom/>
      <diagonal/>
    </border>
    <border>
      <left/>
      <right style="thin">
        <color rgb="FFD0CECE"/>
      </right>
      <top/>
      <bottom style="thin">
        <color rgb="FFD0CECE"/>
      </bottom>
      <diagonal/>
    </border>
    <border>
      <left/>
      <right style="thin">
        <color rgb="FFD0CECE"/>
      </right>
      <top/>
      <bottom/>
      <diagonal/>
    </border>
    <border>
      <left/>
      <right style="thin">
        <color rgb="FFD0CECE"/>
      </right>
      <top style="thin">
        <color rgb="FFD0CECE"/>
      </top>
      <bottom/>
      <diagonal/>
    </border>
    <border>
      <left/>
      <right/>
      <top/>
      <bottom style="thin">
        <color rgb="FFD0CECE"/>
      </bottom>
      <diagonal/>
    </border>
    <border>
      <left style="thin">
        <color rgb="FFD0CECE"/>
      </left>
      <right/>
      <top/>
      <bottom/>
      <diagonal/>
    </border>
    <border>
      <left style="thin">
        <color rgb="FFD0CECE"/>
      </left>
      <right/>
      <top/>
      <bottom style="thin">
        <color rgb="FFD0CECE"/>
      </bottom>
      <diagonal/>
    </border>
    <border>
      <left/>
      <right/>
      <top style="thin">
        <color rgb="FF000000"/>
      </top>
      <bottom style="thin">
        <color rgb="FF000000"/>
      </bottom>
      <diagonal/>
    </border>
    <border>
      <left/>
      <right/>
      <top style="thin">
        <color rgb="FF000000"/>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rgb="FF000000"/>
      </right>
      <top style="thin">
        <color theme="2" tint="-9.9948118533890809E-2"/>
      </top>
      <bottom style="thin">
        <color theme="2" tint="-9.9948118533890809E-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E7E6E6"/>
      </left>
      <right style="thin">
        <color rgb="FFE7E6E6"/>
      </right>
      <top style="thin">
        <color rgb="FFE7E6E6"/>
      </top>
      <bottom/>
      <diagonal/>
    </border>
    <border>
      <left style="thin">
        <color rgb="FFE7E6E6"/>
      </left>
      <right style="thin">
        <color rgb="FFE7E6E6"/>
      </right>
      <top/>
      <bottom/>
      <diagonal/>
    </border>
    <border>
      <left style="thin">
        <color rgb="FFE7E6E6"/>
      </left>
      <right style="thin">
        <color rgb="FFE7E6E6"/>
      </right>
      <top/>
      <bottom style="thin">
        <color rgb="FFE7E6E6"/>
      </bottom>
      <diagonal/>
    </border>
    <border>
      <left/>
      <right style="thin">
        <color rgb="FFE7E6E6"/>
      </right>
      <top style="thin">
        <color rgb="FFE7E6E6"/>
      </top>
      <bottom style="thin">
        <color rgb="FFE7E6E6"/>
      </bottom>
      <diagonal/>
    </border>
    <border>
      <left/>
      <right style="thin">
        <color rgb="FFE7E6E6"/>
      </right>
      <top/>
      <bottom style="thin">
        <color rgb="FFE7E6E6"/>
      </bottom>
      <diagonal/>
    </border>
    <border>
      <left style="thin">
        <color rgb="FF000000"/>
      </left>
      <right/>
      <top/>
      <bottom/>
      <diagonal/>
    </border>
    <border>
      <left style="thin">
        <color rgb="FF000000"/>
      </left>
      <right style="thin">
        <color rgb="FFE7E6E6"/>
      </right>
      <top style="thin">
        <color rgb="FFE7E6E6"/>
      </top>
      <bottom/>
      <diagonal/>
    </border>
    <border>
      <left style="thin">
        <color rgb="FF000000"/>
      </left>
      <right style="thin">
        <color rgb="FFE7E6E6"/>
      </right>
      <top/>
      <bottom/>
      <diagonal/>
    </border>
    <border>
      <left style="thin">
        <color rgb="FF000000"/>
      </left>
      <right style="thin">
        <color rgb="FFE7E6E6"/>
      </right>
      <top/>
      <bottom style="thin">
        <color rgb="FFE7E6E6"/>
      </bottom>
      <diagonal/>
    </border>
    <border>
      <left/>
      <right/>
      <top style="thin">
        <color rgb="FFE7E6E6"/>
      </top>
      <bottom style="thin">
        <color rgb="FFE7E6E6"/>
      </bottom>
      <diagonal/>
    </border>
    <border>
      <left/>
      <right/>
      <top/>
      <bottom style="thin">
        <color rgb="FFE7E6E6"/>
      </bottom>
      <diagonal/>
    </border>
  </borders>
  <cellStyleXfs count="10">
    <xf numFmtId="0" fontId="0" fillId="0" borderId="0"/>
    <xf numFmtId="0" fontId="15" fillId="0" borderId="0"/>
    <xf numFmtId="0" fontId="16" fillId="0" borderId="0"/>
    <xf numFmtId="0" fontId="15" fillId="0" borderId="0"/>
    <xf numFmtId="0" fontId="5" fillId="0" borderId="0"/>
    <xf numFmtId="0" fontId="4" fillId="0" borderId="0"/>
    <xf numFmtId="0" fontId="2" fillId="0" borderId="0"/>
    <xf numFmtId="0" fontId="59" fillId="0" borderId="0" applyNumberFormat="0" applyFill="0" applyBorder="0" applyAlignment="0" applyProtection="0"/>
    <xf numFmtId="0" fontId="2" fillId="0" borderId="0"/>
    <xf numFmtId="0" fontId="7" fillId="0" borderId="0" applyNumberFormat="0" applyFill="0" applyBorder="0" applyAlignment="0" applyProtection="0"/>
  </cellStyleXfs>
  <cellXfs count="1018">
    <xf numFmtId="0" fontId="0" fillId="0" borderId="0" xfId="0"/>
    <xf numFmtId="0" fontId="0" fillId="3" borderId="0" xfId="0" applyFill="1"/>
    <xf numFmtId="0" fontId="19" fillId="0" borderId="0" xfId="0" applyFont="1" applyAlignment="1">
      <alignment vertical="center"/>
    </xf>
    <xf numFmtId="0" fontId="20" fillId="0" borderId="0" xfId="1" applyFont="1"/>
    <xf numFmtId="0" fontId="21" fillId="0" borderId="0" xfId="0" applyFont="1" applyAlignment="1">
      <alignment vertical="center"/>
    </xf>
    <xf numFmtId="0" fontId="22" fillId="0" borderId="0" xfId="1" applyFont="1"/>
    <xf numFmtId="0" fontId="24" fillId="0" borderId="0" xfId="0" applyFont="1" applyAlignment="1">
      <alignment vertical="center"/>
    </xf>
    <xf numFmtId="0" fontId="25" fillId="0" borderId="0" xfId="0" applyFont="1" applyAlignment="1">
      <alignment vertical="center"/>
    </xf>
    <xf numFmtId="0" fontId="22" fillId="0" borderId="0" xfId="1" applyFont="1" applyAlignment="1">
      <alignment vertical="top" wrapText="1"/>
    </xf>
    <xf numFmtId="0" fontId="29" fillId="4" borderId="0" xfId="0" applyFont="1" applyFill="1" applyAlignment="1">
      <alignment vertical="center" wrapText="1"/>
    </xf>
    <xf numFmtId="0" fontId="24" fillId="0" borderId="0" xfId="0" applyFont="1" applyAlignment="1">
      <alignment horizontal="center" vertical="center" wrapText="1"/>
    </xf>
    <xf numFmtId="0" fontId="31" fillId="0" borderId="0" xfId="0" applyFont="1" applyAlignment="1">
      <alignment vertical="center"/>
    </xf>
    <xf numFmtId="0" fontId="0" fillId="0" borderId="1" xfId="0" applyFont="1" applyFill="1" applyBorder="1" applyAlignment="1">
      <alignment vertical="center" wrapText="1"/>
    </xf>
    <xf numFmtId="0" fontId="0" fillId="0" borderId="0" xfId="0" applyFont="1" applyAlignment="1">
      <alignment horizontal="left" vertical="center" wrapText="1"/>
    </xf>
    <xf numFmtId="0" fontId="24" fillId="0" borderId="0" xfId="0" applyFont="1" applyFill="1" applyAlignment="1">
      <alignment vertical="center"/>
    </xf>
    <xf numFmtId="0" fontId="19" fillId="0" borderId="0" xfId="0" applyFont="1" applyFill="1" applyAlignment="1">
      <alignment vertical="center"/>
    </xf>
    <xf numFmtId="0" fontId="11" fillId="0" borderId="1" xfId="0" applyFont="1" applyBorder="1" applyAlignment="1">
      <alignment horizontal="left" vertical="top" wrapText="1"/>
    </xf>
    <xf numFmtId="0" fontId="35" fillId="0" borderId="0" xfId="0" applyFont="1"/>
    <xf numFmtId="4" fontId="0" fillId="0" borderId="1" xfId="0" applyNumberFormat="1" applyFont="1" applyFill="1" applyBorder="1" applyAlignment="1">
      <alignment horizontal="left" vertical="center"/>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38" fillId="0" borderId="7" xfId="0" applyFont="1" applyFill="1" applyBorder="1" applyAlignment="1">
      <alignment horizontal="left" vertical="top" wrapText="1"/>
    </xf>
    <xf numFmtId="0" fontId="36" fillId="0" borderId="17" xfId="0" applyFont="1" applyFill="1" applyBorder="1" applyAlignment="1">
      <alignment horizontal="left" vertical="top" wrapText="1"/>
    </xf>
    <xf numFmtId="0" fontId="7" fillId="0" borderId="17" xfId="9" applyFill="1" applyBorder="1" applyAlignment="1">
      <alignment horizontal="left" vertical="top" wrapText="1"/>
    </xf>
    <xf numFmtId="0" fontId="36" fillId="4" borderId="17" xfId="0" applyFont="1" applyFill="1" applyBorder="1" applyAlignment="1">
      <alignment horizontal="left" vertical="top" wrapText="1"/>
    </xf>
    <xf numFmtId="0" fontId="36" fillId="0" borderId="18" xfId="0" applyFont="1" applyFill="1" applyBorder="1" applyAlignment="1">
      <alignment horizontal="left" vertical="top" wrapText="1"/>
    </xf>
    <xf numFmtId="0" fontId="7" fillId="0" borderId="15" xfId="9" applyFill="1" applyBorder="1" applyAlignment="1">
      <alignment horizontal="left" vertical="top"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Alignment="1">
      <alignment horizontal="center" vertical="center" wrapText="1"/>
    </xf>
    <xf numFmtId="0" fontId="38" fillId="0" borderId="7" xfId="0" applyFont="1" applyFill="1" applyBorder="1" applyAlignment="1">
      <alignment horizontal="left" vertical="center" wrapText="1"/>
    </xf>
    <xf numFmtId="3" fontId="36" fillId="4" borderId="17" xfId="0" applyNumberFormat="1" applyFont="1" applyFill="1" applyBorder="1" applyAlignment="1">
      <alignment horizontal="left" vertical="center" wrapText="1"/>
    </xf>
    <xf numFmtId="0" fontId="36" fillId="4" borderId="17" xfId="0" applyFont="1" applyFill="1" applyBorder="1" applyAlignment="1">
      <alignment horizontal="left" vertical="center" wrapText="1"/>
    </xf>
    <xf numFmtId="4" fontId="36" fillId="0" borderId="17" xfId="0" applyNumberFormat="1"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4" xfId="0" applyFont="1" applyFill="1" applyBorder="1" applyAlignment="1">
      <alignment horizontal="left" vertical="center" wrapText="1"/>
    </xf>
    <xf numFmtId="3" fontId="36" fillId="0" borderId="7" xfId="0" applyNumberFormat="1" applyFont="1" applyFill="1" applyBorder="1" applyAlignment="1">
      <alignment horizontal="left" vertical="center" wrapText="1"/>
    </xf>
    <xf numFmtId="3" fontId="0" fillId="0" borderId="0" xfId="0" applyNumberFormat="1" applyFont="1" applyAlignment="1">
      <alignment horizontal="left" vertical="center" wrapText="1"/>
    </xf>
    <xf numFmtId="0" fontId="6" fillId="0" borderId="1" xfId="0" applyFont="1" applyFill="1" applyBorder="1" applyAlignment="1"/>
    <xf numFmtId="14" fontId="0" fillId="0" borderId="0" xfId="0" applyNumberFormat="1" applyFont="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0" xfId="0" applyFill="1"/>
    <xf numFmtId="0" fontId="24" fillId="0" borderId="0" xfId="0" applyFont="1" applyFill="1" applyBorder="1" applyAlignment="1"/>
    <xf numFmtId="0" fontId="28" fillId="0" borderId="0" xfId="0" applyFont="1" applyFill="1" applyBorder="1" applyAlignment="1"/>
    <xf numFmtId="0" fontId="22" fillId="0" borderId="0" xfId="0" applyFont="1" applyFill="1" applyBorder="1" applyAlignment="1"/>
    <xf numFmtId="0" fontId="27" fillId="0" borderId="0" xfId="0" applyFont="1" applyFill="1" applyBorder="1" applyAlignment="1"/>
    <xf numFmtId="0" fontId="42" fillId="0" borderId="0" xfId="0" applyFont="1" applyFill="1" applyBorder="1" applyAlignment="1"/>
    <xf numFmtId="0" fontId="22" fillId="4" borderId="0" xfId="0" applyFont="1" applyFill="1" applyBorder="1" applyAlignment="1"/>
    <xf numFmtId="0" fontId="22" fillId="4" borderId="0" xfId="0" applyFont="1" applyFill="1" applyBorder="1" applyAlignment="1">
      <alignment wrapText="1"/>
    </xf>
    <xf numFmtId="0" fontId="26" fillId="0" borderId="0" xfId="0" applyFont="1" applyFill="1" applyBorder="1" applyAlignment="1"/>
    <xf numFmtId="0" fontId="26" fillId="0" borderId="0" xfId="0" applyFont="1" applyFill="1" applyBorder="1" applyAlignment="1">
      <alignment wrapText="1"/>
    </xf>
    <xf numFmtId="0" fontId="25" fillId="4" borderId="0" xfId="0" applyFont="1" applyFill="1" applyBorder="1" applyAlignment="1"/>
    <xf numFmtId="0" fontId="23" fillId="4" borderId="0" xfId="0" applyFont="1" applyFill="1" applyBorder="1" applyAlignment="1"/>
    <xf numFmtId="0" fontId="43" fillId="0" borderId="0" xfId="0" applyFont="1" applyFill="1" applyBorder="1" applyAlignment="1"/>
    <xf numFmtId="0" fontId="0" fillId="0" borderId="1" xfId="0" applyFont="1" applyBorder="1" applyAlignment="1">
      <alignment horizontal="left" vertical="top" wrapText="1"/>
    </xf>
    <xf numFmtId="0" fontId="6" fillId="3" borderId="0" xfId="0" applyFont="1" applyFill="1"/>
    <xf numFmtId="0" fontId="11" fillId="0" borderId="1" xfId="0" applyFont="1" applyFill="1" applyBorder="1" applyAlignment="1">
      <alignment horizontal="center" vertical="center"/>
    </xf>
    <xf numFmtId="0" fontId="36" fillId="4" borderId="0" xfId="0" applyFont="1" applyFill="1" applyBorder="1" applyAlignment="1"/>
    <xf numFmtId="0" fontId="38" fillId="4" borderId="12" xfId="0" applyFont="1" applyFill="1" applyBorder="1" applyAlignment="1"/>
    <xf numFmtId="0" fontId="41" fillId="4" borderId="12" xfId="0" applyFont="1" applyFill="1" applyBorder="1" applyAlignment="1"/>
    <xf numFmtId="0" fontId="47" fillId="4" borderId="0" xfId="0" applyFont="1" applyFill="1" applyBorder="1" applyAlignment="1"/>
    <xf numFmtId="0" fontId="6" fillId="0" borderId="0" xfId="9" applyFont="1" applyFill="1" applyBorder="1" applyAlignment="1"/>
    <xf numFmtId="0" fontId="6" fillId="0" borderId="0" xfId="9" applyNumberFormat="1" applyFont="1" applyFill="1" applyBorder="1" applyAlignment="1"/>
    <xf numFmtId="0" fontId="6" fillId="4" borderId="0" xfId="9" applyFont="1" applyFill="1" applyBorder="1" applyAlignment="1"/>
    <xf numFmtId="0" fontId="6" fillId="0" borderId="0" xfId="0" applyFont="1"/>
    <xf numFmtId="0" fontId="7" fillId="0" borderId="17" xfId="9" applyFill="1" applyBorder="1" applyAlignment="1">
      <alignment wrapText="1"/>
    </xf>
    <xf numFmtId="0" fontId="6" fillId="0" borderId="0" xfId="9" applyFont="1" applyFill="1"/>
    <xf numFmtId="0" fontId="11" fillId="0" borderId="1" xfId="0" applyFont="1" applyFill="1" applyBorder="1" applyAlignment="1">
      <alignment vertical="center"/>
    </xf>
    <xf numFmtId="3"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Font="1" applyFill="1"/>
    <xf numFmtId="0" fontId="0" fillId="0" borderId="0" xfId="0" applyFill="1" applyAlignment="1">
      <alignment vertical="center"/>
    </xf>
    <xf numFmtId="0" fontId="0" fillId="0" borderId="0" xfId="0" applyFill="1" applyAlignment="1">
      <alignment horizontal="left" vertical="center"/>
    </xf>
    <xf numFmtId="0" fontId="0" fillId="0" borderId="1" xfId="9" applyFont="1" applyFill="1" applyBorder="1" applyAlignment="1">
      <alignment horizontal="left" vertical="top" wrapText="1"/>
    </xf>
    <xf numFmtId="0" fontId="36" fillId="0" borderId="17" xfId="0" applyFont="1" applyFill="1" applyBorder="1" applyAlignment="1">
      <alignment wrapText="1"/>
    </xf>
    <xf numFmtId="0" fontId="36" fillId="0" borderId="18"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33" fillId="2" borderId="0" xfId="1" applyFont="1" applyFill="1"/>
    <xf numFmtId="0" fontId="11" fillId="0" borderId="1" xfId="0" applyFont="1" applyFill="1" applyBorder="1" applyAlignment="1">
      <alignment vertical="center" wrapText="1"/>
    </xf>
    <xf numFmtId="0" fontId="45" fillId="2" borderId="0" xfId="0" applyFont="1" applyFill="1"/>
    <xf numFmtId="0" fontId="0" fillId="2" borderId="0" xfId="0" applyFill="1"/>
    <xf numFmtId="0" fontId="48" fillId="2" borderId="0" xfId="0" applyFont="1" applyFill="1"/>
    <xf numFmtId="0" fontId="49" fillId="2" borderId="0" xfId="0" applyFont="1" applyFill="1"/>
    <xf numFmtId="0" fontId="50" fillId="2" borderId="0" xfId="0" applyFont="1" applyFill="1"/>
    <xf numFmtId="0" fontId="18" fillId="2" borderId="0" xfId="0" applyFont="1" applyFill="1"/>
    <xf numFmtId="0" fontId="54" fillId="2" borderId="0" xfId="0" applyFont="1" applyFill="1"/>
    <xf numFmtId="0" fontId="53" fillId="2" borderId="0" xfId="0" applyFont="1" applyFill="1"/>
    <xf numFmtId="0" fontId="34" fillId="2" borderId="0" xfId="0" applyFont="1" applyFill="1"/>
    <xf numFmtId="0" fontId="52" fillId="2" borderId="0" xfId="0" applyFont="1" applyFill="1"/>
    <xf numFmtId="0" fontId="55" fillId="2" borderId="0" xfId="0" applyFont="1" applyFill="1"/>
    <xf numFmtId="0" fontId="33" fillId="0" borderId="0" xfId="1" applyFont="1" applyFill="1"/>
    <xf numFmtId="0" fontId="56" fillId="2" borderId="0" xfId="1" applyFont="1" applyFill="1" applyAlignment="1">
      <alignment horizontal="left"/>
    </xf>
    <xf numFmtId="0" fontId="56" fillId="2" borderId="0" xfId="1" applyFont="1" applyFill="1"/>
    <xf numFmtId="0" fontId="56" fillId="2" borderId="0" xfId="1" applyNumberFormat="1" applyFont="1" applyFill="1"/>
    <xf numFmtId="169" fontId="56" fillId="2" borderId="0" xfId="1" applyNumberFormat="1" applyFont="1" applyFill="1"/>
    <xf numFmtId="169" fontId="17" fillId="2" borderId="0" xfId="1" applyNumberFormat="1" applyFont="1" applyFill="1"/>
    <xf numFmtId="164" fontId="56" fillId="2" borderId="0" xfId="1" applyNumberFormat="1" applyFont="1" applyFill="1"/>
    <xf numFmtId="166" fontId="56" fillId="2" borderId="0" xfId="1" applyNumberFormat="1" applyFont="1" applyFill="1"/>
    <xf numFmtId="0" fontId="56" fillId="0" borderId="0" xfId="0" applyFont="1" applyFill="1" applyBorder="1" applyAlignment="1"/>
    <xf numFmtId="0" fontId="17" fillId="2" borderId="0" xfId="0" applyFont="1" applyFill="1"/>
    <xf numFmtId="0" fontId="33" fillId="2" borderId="0" xfId="1" applyFont="1" applyFill="1" applyAlignment="1">
      <alignment horizontal="left"/>
    </xf>
    <xf numFmtId="0" fontId="33" fillId="2" borderId="0" xfId="3" applyNumberFormat="1" applyFont="1" applyFill="1"/>
    <xf numFmtId="169" fontId="33" fillId="2" borderId="0" xfId="3" applyNumberFormat="1" applyFont="1" applyFill="1"/>
    <xf numFmtId="169" fontId="33" fillId="2" borderId="0" xfId="1" applyNumberFormat="1" applyFont="1" applyFill="1"/>
    <xf numFmtId="164" fontId="33" fillId="2" borderId="0" xfId="1" applyNumberFormat="1" applyFont="1" applyFill="1"/>
    <xf numFmtId="166" fontId="3" fillId="0" borderId="0" xfId="0" applyNumberFormat="1" applyFont="1"/>
    <xf numFmtId="165" fontId="33" fillId="2" borderId="0" xfId="1" applyNumberFormat="1" applyFont="1" applyFill="1"/>
    <xf numFmtId="0" fontId="3" fillId="0" borderId="0" xfId="0" applyFont="1"/>
    <xf numFmtId="0" fontId="33" fillId="2" borderId="0" xfId="1" applyFont="1" applyFill="1" applyBorder="1" applyAlignment="1">
      <alignment horizontal="left"/>
    </xf>
    <xf numFmtId="0" fontId="33" fillId="2" borderId="0" xfId="1" applyFont="1" applyFill="1" applyBorder="1"/>
    <xf numFmtId="169" fontId="33" fillId="2" borderId="0" xfId="3" applyNumberFormat="1" applyFont="1" applyFill="1" applyBorder="1"/>
    <xf numFmtId="169" fontId="33" fillId="2" borderId="0" xfId="1" applyNumberFormat="1" applyFont="1" applyFill="1" applyBorder="1"/>
    <xf numFmtId="164" fontId="33" fillId="2" borderId="0" xfId="1" applyNumberFormat="1" applyFont="1" applyFill="1" applyBorder="1"/>
    <xf numFmtId="169" fontId="40" fillId="2" borderId="0" xfId="0" applyNumberFormat="1" applyFont="1" applyFill="1"/>
    <xf numFmtId="0" fontId="33" fillId="2" borderId="0" xfId="1" applyNumberFormat="1" applyFont="1" applyFill="1"/>
    <xf numFmtId="0" fontId="33" fillId="2" borderId="0" xfId="1" applyFont="1" applyFill="1" applyAlignment="1">
      <alignment wrapText="1"/>
    </xf>
    <xf numFmtId="0" fontId="33" fillId="2" borderId="0" xfId="3" applyNumberFormat="1" applyFont="1" applyFill="1" applyAlignment="1">
      <alignment horizontal="right"/>
    </xf>
    <xf numFmtId="169" fontId="3" fillId="2" borderId="0" xfId="1" applyNumberFormat="1" applyFont="1" applyFill="1"/>
    <xf numFmtId="3" fontId="40" fillId="2" borderId="0" xfId="0" applyNumberFormat="1" applyFont="1" applyFill="1" applyAlignment="1">
      <alignment horizontal="center" vertical="center"/>
    </xf>
    <xf numFmtId="0" fontId="7" fillId="0" borderId="17" xfId="9" applyFill="1" applyBorder="1" applyAlignment="1">
      <alignment vertical="top" wrapText="1"/>
    </xf>
    <xf numFmtId="0" fontId="60" fillId="0" borderId="7" xfId="0" applyFont="1" applyFill="1" applyBorder="1" applyAlignment="1">
      <alignment horizontal="center" vertical="center" wrapText="1"/>
    </xf>
    <xf numFmtId="4" fontId="7" fillId="0" borderId="1" xfId="9" applyNumberFormat="1" applyFill="1" applyBorder="1" applyAlignment="1">
      <alignment horizontal="left" vertical="top" wrapText="1"/>
    </xf>
    <xf numFmtId="0" fontId="11" fillId="0" borderId="0" xfId="0" applyFont="1"/>
    <xf numFmtId="0" fontId="7" fillId="0" borderId="0" xfId="9" applyFill="1" applyAlignment="1">
      <alignment horizontal="left" vertical="top" wrapText="1"/>
    </xf>
    <xf numFmtId="0" fontId="0" fillId="0" borderId="0" xfId="0" applyFill="1" applyBorder="1" applyAlignment="1">
      <alignment horizontal="left" vertical="center"/>
    </xf>
    <xf numFmtId="0" fontId="60" fillId="0" borderId="0" xfId="0" applyFont="1" applyFill="1" applyBorder="1" applyAlignment="1">
      <alignment horizontal="center"/>
    </xf>
    <xf numFmtId="0" fontId="0" fillId="0" borderId="0" xfId="0" applyFill="1" applyAlignment="1">
      <alignment horizontal="center"/>
    </xf>
    <xf numFmtId="3" fontId="0" fillId="0" borderId="0" xfId="0" applyNumberFormat="1" applyFont="1" applyFill="1" applyBorder="1" applyAlignment="1">
      <alignment horizontal="left" vertical="center"/>
    </xf>
    <xf numFmtId="0" fontId="9" fillId="0" borderId="0" xfId="0" applyFont="1" applyFill="1" applyAlignment="1">
      <alignment vertical="center"/>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3" fontId="11" fillId="0" borderId="25" xfId="0" applyNumberFormat="1" applyFont="1" applyFill="1" applyBorder="1" applyAlignment="1">
      <alignment horizontal="center" vertical="center"/>
    </xf>
    <xf numFmtId="0" fontId="23" fillId="4" borderId="0" xfId="0" applyFont="1" applyFill="1" applyBorder="1" applyAlignment="1">
      <alignment wrapText="1"/>
    </xf>
    <xf numFmtId="0" fontId="25" fillId="0" borderId="0" xfId="0" applyFont="1" applyFill="1" applyBorder="1" applyAlignment="1"/>
    <xf numFmtId="0" fontId="22" fillId="0" borderId="0" xfId="0" applyFont="1" applyFill="1" applyBorder="1" applyAlignment="1">
      <alignment wrapText="1"/>
    </xf>
    <xf numFmtId="0" fontId="23" fillId="0" borderId="0" xfId="0" applyFont="1" applyFill="1" applyBorder="1" applyAlignment="1"/>
    <xf numFmtId="0" fontId="0" fillId="0" borderId="0" xfId="0" applyAlignment="1"/>
    <xf numFmtId="0" fontId="22" fillId="0" borderId="0" xfId="1" applyFont="1" applyAlignment="1"/>
    <xf numFmtId="0" fontId="27" fillId="8" borderId="0" xfId="0" applyFont="1" applyFill="1" applyBorder="1" applyAlignment="1"/>
    <xf numFmtId="0" fontId="62" fillId="9" borderId="0" xfId="0" applyFont="1" applyFill="1" applyBorder="1" applyAlignment="1"/>
    <xf numFmtId="0" fontId="62" fillId="10" borderId="0" xfId="0" applyFont="1" applyFill="1" applyBorder="1" applyAlignment="1"/>
    <xf numFmtId="0" fontId="28" fillId="11" borderId="0" xfId="0" applyFont="1" applyFill="1" applyBorder="1" applyAlignment="1">
      <alignment wrapText="1"/>
    </xf>
    <xf numFmtId="0" fontId="0" fillId="0" borderId="0" xfId="0" applyFont="1" applyFill="1" applyBorder="1" applyAlignment="1">
      <alignment horizontal="center" vertical="center"/>
    </xf>
    <xf numFmtId="0" fontId="63" fillId="0" borderId="0" xfId="0" applyFont="1"/>
    <xf numFmtId="0" fontId="60" fillId="0" borderId="0" xfId="0" applyFont="1" applyFill="1" applyBorder="1" applyAlignment="1"/>
    <xf numFmtId="170" fontId="11" fillId="0" borderId="1" xfId="0" applyNumberFormat="1" applyFont="1" applyFill="1" applyBorder="1" applyAlignment="1">
      <alignment horizontal="left" vertical="center" wrapText="1"/>
    </xf>
    <xf numFmtId="0" fontId="0" fillId="0" borderId="0" xfId="0" applyFont="1" applyFill="1" applyAlignment="1">
      <alignment horizontal="left" vertical="top" wrapText="1"/>
    </xf>
    <xf numFmtId="0" fontId="60" fillId="0" borderId="0" xfId="0" applyFont="1" applyFill="1" applyBorder="1" applyAlignment="1">
      <alignment horizontal="center" vertical="center"/>
    </xf>
    <xf numFmtId="0" fontId="56" fillId="0" borderId="0" xfId="1" applyFont="1" applyFill="1"/>
    <xf numFmtId="166" fontId="56" fillId="0" borderId="0" xfId="1" applyNumberFormat="1" applyFont="1" applyFill="1"/>
    <xf numFmtId="165" fontId="33" fillId="0" borderId="0" xfId="1" applyNumberFormat="1" applyFont="1" applyFill="1"/>
    <xf numFmtId="166" fontId="33" fillId="0" borderId="0" xfId="1" applyNumberFormat="1" applyFont="1" applyFill="1"/>
    <xf numFmtId="0" fontId="45" fillId="2" borderId="0" xfId="0" applyFont="1" applyFill="1" applyAlignment="1"/>
    <xf numFmtId="170" fontId="0" fillId="0" borderId="1" xfId="0" applyNumberFormat="1" applyFill="1" applyBorder="1" applyAlignment="1">
      <alignment horizontal="left" vertical="center"/>
    </xf>
    <xf numFmtId="0" fontId="7" fillId="0" borderId="1" xfId="9" applyFill="1" applyBorder="1" applyAlignment="1">
      <alignment horizontal="left" vertical="top" wrapText="1"/>
    </xf>
    <xf numFmtId="3" fontId="0" fillId="0" borderId="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7" fillId="0" borderId="1" xfId="9" applyNumberFormat="1" applyFill="1" applyBorder="1" applyAlignment="1">
      <alignment horizontal="left" vertical="top" wrapText="1"/>
    </xf>
    <xf numFmtId="0" fontId="0" fillId="0" borderId="1" xfId="0" applyFill="1" applyBorder="1" applyAlignment="1">
      <alignment horizontal="left" vertical="top"/>
    </xf>
    <xf numFmtId="0" fontId="6" fillId="0" borderId="1" xfId="0" applyFont="1" applyFill="1" applyBorder="1" applyAlignment="1">
      <alignment horizontal="left" vertical="top"/>
    </xf>
    <xf numFmtId="3" fontId="0" fillId="0" borderId="0" xfId="0" applyNumberFormat="1" applyFill="1" applyBorder="1" applyAlignment="1">
      <alignment horizontal="left" vertical="top"/>
    </xf>
    <xf numFmtId="0" fontId="0" fillId="0" borderId="1" xfId="0" applyFont="1" applyFill="1" applyBorder="1" applyAlignment="1">
      <alignment horizontal="left" vertical="center"/>
    </xf>
    <xf numFmtId="0" fontId="9" fillId="0" borderId="1" xfId="0" applyFont="1" applyFill="1" applyBorder="1" applyAlignment="1"/>
    <xf numFmtId="0" fontId="9" fillId="0" borderId="0" xfId="0" applyFont="1" applyFill="1" applyAlignment="1"/>
    <xf numFmtId="0" fontId="60" fillId="0" borderId="15" xfId="0" applyFont="1" applyFill="1" applyBorder="1" applyAlignment="1"/>
    <xf numFmtId="0" fontId="60" fillId="0" borderId="4" xfId="0" applyFont="1" applyFill="1" applyBorder="1" applyAlignment="1"/>
    <xf numFmtId="0" fontId="9" fillId="0" borderId="3" xfId="0" applyFont="1" applyFill="1" applyBorder="1" applyAlignment="1"/>
    <xf numFmtId="0" fontId="37" fillId="0" borderId="1" xfId="0" applyFont="1" applyFill="1" applyBorder="1" applyAlignment="1"/>
    <xf numFmtId="0" fontId="37" fillId="0" borderId="0" xfId="0" applyFont="1" applyFill="1" applyBorder="1" applyAlignment="1">
      <alignment vertical="center"/>
    </xf>
    <xf numFmtId="0" fontId="37" fillId="0" borderId="0" xfId="0" applyFont="1" applyFill="1" applyBorder="1" applyAlignment="1"/>
    <xf numFmtId="0" fontId="36" fillId="0" borderId="0" xfId="0" applyFont="1" applyFill="1" applyAlignment="1"/>
    <xf numFmtId="0" fontId="60" fillId="0" borderId="4" xfId="0" applyFont="1" applyFill="1" applyBorder="1" applyAlignment="1">
      <alignment vertical="center"/>
    </xf>
    <xf numFmtId="3" fontId="36" fillId="0" borderId="17" xfId="0" applyNumberFormat="1" applyFont="1" applyFill="1" applyBorder="1" applyAlignment="1">
      <alignment horizontal="left" vertical="center"/>
    </xf>
    <xf numFmtId="0" fontId="36" fillId="0" borderId="0" xfId="0" applyFont="1" applyFill="1" applyAlignment="1">
      <alignment vertical="top"/>
    </xf>
    <xf numFmtId="0" fontId="36" fillId="0" borderId="0" xfId="0" applyFont="1" applyFill="1" applyAlignment="1">
      <alignment vertical="center"/>
    </xf>
    <xf numFmtId="3" fontId="11" fillId="0" borderId="0" xfId="0" applyNumberFormat="1" applyFont="1" applyFill="1" applyBorder="1" applyAlignment="1">
      <alignment horizontal="center" vertical="center"/>
    </xf>
    <xf numFmtId="4" fontId="11" fillId="0" borderId="26" xfId="0" applyNumberFormat="1" applyFont="1" applyFill="1" applyBorder="1" applyAlignment="1">
      <alignment horizontal="left" vertical="center" wrapText="1"/>
    </xf>
    <xf numFmtId="4" fontId="0" fillId="0" borderId="26" xfId="0" applyNumberFormat="1" applyFont="1" applyFill="1" applyBorder="1" applyAlignment="1">
      <alignment horizontal="left" vertical="center" wrapText="1"/>
    </xf>
    <xf numFmtId="3" fontId="11" fillId="0" borderId="27" xfId="0" applyNumberFormat="1" applyFont="1" applyFill="1" applyBorder="1" applyAlignment="1">
      <alignment horizontal="center" vertical="center"/>
    </xf>
    <xf numFmtId="3" fontId="0" fillId="0" borderId="27" xfId="0" applyNumberFormat="1" applyFont="1" applyFill="1" applyBorder="1" applyAlignment="1">
      <alignment horizontal="left" vertical="center"/>
    </xf>
    <xf numFmtId="0" fontId="7" fillId="0" borderId="1" xfId="9" applyFill="1" applyBorder="1" applyAlignment="1">
      <alignment horizontal="left" vertical="top"/>
    </xf>
    <xf numFmtId="0" fontId="7" fillId="0" borderId="4" xfId="9" applyFill="1" applyBorder="1" applyAlignment="1">
      <alignment horizontal="left" vertical="top" wrapText="1"/>
    </xf>
    <xf numFmtId="4" fontId="7" fillId="0" borderId="0" xfId="9" applyNumberFormat="1" applyFill="1" applyBorder="1" applyAlignment="1">
      <alignment horizontal="left" vertical="top"/>
    </xf>
    <xf numFmtId="0" fontId="7" fillId="0" borderId="0" xfId="9" applyFill="1" applyAlignment="1">
      <alignment horizontal="left" vertical="top"/>
    </xf>
    <xf numFmtId="0" fontId="7" fillId="0" borderId="0" xfId="9" applyFill="1" applyBorder="1" applyAlignment="1">
      <alignment horizontal="left" vertical="top"/>
    </xf>
    <xf numFmtId="4" fontId="0" fillId="0" borderId="1" xfId="0" applyNumberFormat="1" applyFont="1" applyFill="1" applyBorder="1" applyAlignment="1">
      <alignment horizontal="left" vertical="top" wrapText="1"/>
    </xf>
    <xf numFmtId="0" fontId="7" fillId="0" borderId="2" xfId="9" applyFill="1" applyBorder="1" applyAlignment="1">
      <alignment horizontal="left" vertical="top"/>
    </xf>
    <xf numFmtId="4" fontId="0" fillId="0" borderId="1" xfId="0" applyNumberFormat="1" applyFill="1" applyBorder="1" applyAlignment="1">
      <alignment horizontal="left" vertical="top" wrapText="1"/>
    </xf>
    <xf numFmtId="0" fontId="60" fillId="0" borderId="7" xfId="0" applyFont="1" applyFill="1" applyBorder="1" applyAlignment="1">
      <alignment horizontal="left" vertical="top" wrapText="1"/>
    </xf>
    <xf numFmtId="4" fontId="7" fillId="0" borderId="0" xfId="9" applyNumberFormat="1" applyFill="1" applyBorder="1" applyAlignment="1">
      <alignment horizontal="left" vertical="top" wrapText="1"/>
    </xf>
    <xf numFmtId="0" fontId="12" fillId="3" borderId="0" xfId="2" applyFont="1" applyFill="1"/>
    <xf numFmtId="0" fontId="12" fillId="2" borderId="0" xfId="2" applyFont="1" applyFill="1"/>
    <xf numFmtId="0" fontId="11" fillId="2" borderId="0" xfId="2" applyFont="1" applyFill="1"/>
    <xf numFmtId="0" fontId="11" fillId="0" borderId="0" xfId="2" applyFont="1" applyFill="1"/>
    <xf numFmtId="0" fontId="12" fillId="0" borderId="0" xfId="2" applyFont="1" applyFill="1"/>
    <xf numFmtId="0" fontId="11" fillId="3" borderId="11" xfId="2" applyFont="1" applyFill="1" applyBorder="1"/>
    <xf numFmtId="0" fontId="11" fillId="3" borderId="11" xfId="2" applyFont="1" applyFill="1" applyBorder="1" applyAlignment="1">
      <alignment horizontal="right"/>
    </xf>
    <xf numFmtId="0" fontId="10" fillId="3" borderId="0" xfId="1" applyFont="1" applyFill="1"/>
    <xf numFmtId="0" fontId="12" fillId="3" borderId="0" xfId="2" applyFont="1" applyFill="1" applyBorder="1"/>
    <xf numFmtId="0" fontId="12" fillId="2" borderId="0" xfId="2" applyFont="1" applyFill="1" applyBorder="1"/>
    <xf numFmtId="0" fontId="10" fillId="3" borderId="0" xfId="1" applyFont="1" applyFill="1" applyBorder="1"/>
    <xf numFmtId="0" fontId="64" fillId="0" borderId="0" xfId="0" applyFont="1" applyAlignment="1">
      <alignment vertical="center" wrapText="1"/>
    </xf>
    <xf numFmtId="0" fontId="46" fillId="4" borderId="0" xfId="0" applyFont="1" applyFill="1" applyBorder="1" applyAlignment="1"/>
    <xf numFmtId="0" fontId="10" fillId="4" borderId="0" xfId="0" applyFont="1" applyFill="1" applyBorder="1" applyAlignment="1"/>
    <xf numFmtId="0" fontId="6" fillId="4" borderId="0" xfId="0" applyFont="1" applyFill="1" applyBorder="1" applyAlignment="1"/>
    <xf numFmtId="0" fontId="12" fillId="2" borderId="0" xfId="4" applyFont="1" applyFill="1"/>
    <xf numFmtId="0" fontId="12" fillId="0" borderId="0" xfId="4" applyFont="1"/>
    <xf numFmtId="0" fontId="11" fillId="0" borderId="0" xfId="4" applyFont="1"/>
    <xf numFmtId="0" fontId="11" fillId="2" borderId="10" xfId="4" applyFont="1" applyFill="1" applyBorder="1"/>
    <xf numFmtId="0" fontId="11" fillId="2" borderId="10" xfId="4" applyFont="1" applyFill="1" applyBorder="1" applyAlignment="1">
      <alignment horizontal="right"/>
    </xf>
    <xf numFmtId="0" fontId="11" fillId="2" borderId="23" xfId="4" applyFont="1" applyFill="1" applyBorder="1"/>
    <xf numFmtId="0" fontId="11" fillId="2" borderId="0" xfId="4" applyFont="1" applyFill="1"/>
    <xf numFmtId="0" fontId="10" fillId="0" borderId="0" xfId="1" applyFont="1"/>
    <xf numFmtId="0" fontId="10" fillId="2" borderId="0" xfId="1" applyFont="1" applyFill="1" applyAlignment="1">
      <alignment wrapText="1"/>
    </xf>
    <xf numFmtId="0" fontId="12" fillId="2" borderId="6" xfId="4" applyFont="1" applyFill="1" applyBorder="1"/>
    <xf numFmtId="0" fontId="12" fillId="2" borderId="5" xfId="4" applyFont="1" applyFill="1" applyBorder="1"/>
    <xf numFmtId="0" fontId="10" fillId="0" borderId="0" xfId="1" applyFont="1" applyFill="1"/>
    <xf numFmtId="0" fontId="12" fillId="0" borderId="0" xfId="4" applyFont="1" applyFill="1"/>
    <xf numFmtId="0" fontId="12" fillId="2" borderId="0" xfId="2" applyFont="1" applyFill="1" applyAlignment="1">
      <alignment vertical="top" wrapText="1"/>
    </xf>
    <xf numFmtId="2" fontId="12" fillId="2" borderId="0" xfId="2" applyNumberFormat="1" applyFont="1" applyFill="1"/>
    <xf numFmtId="2" fontId="12" fillId="0" borderId="0" xfId="2" applyNumberFormat="1" applyFont="1" applyFill="1"/>
    <xf numFmtId="0" fontId="11" fillId="2" borderId="10" xfId="2" applyFont="1" applyFill="1" applyBorder="1"/>
    <xf numFmtId="2" fontId="11" fillId="2" borderId="10" xfId="2" applyNumberFormat="1" applyFont="1" applyFill="1" applyBorder="1"/>
    <xf numFmtId="0" fontId="10" fillId="0" borderId="0" xfId="1" applyFont="1" applyBorder="1"/>
    <xf numFmtId="0" fontId="12" fillId="2" borderId="0" xfId="2" applyFont="1" applyFill="1" applyAlignment="1"/>
    <xf numFmtId="2" fontId="11" fillId="2" borderId="23" xfId="2" applyNumberFormat="1" applyFont="1" applyFill="1" applyBorder="1"/>
    <xf numFmtId="2" fontId="12" fillId="2" borderId="0" xfId="2" applyNumberFormat="1" applyFont="1" applyFill="1" applyBorder="1"/>
    <xf numFmtId="0" fontId="65" fillId="2" borderId="0" xfId="2" applyFont="1" applyFill="1" applyAlignment="1">
      <alignment horizontal="left"/>
    </xf>
    <xf numFmtId="0" fontId="6" fillId="2" borderId="0" xfId="2" applyFont="1" applyFill="1" applyAlignment="1">
      <alignment horizontal="left"/>
    </xf>
    <xf numFmtId="0" fontId="66" fillId="2" borderId="0" xfId="2" applyFont="1" applyFill="1"/>
    <xf numFmtId="0" fontId="67" fillId="2" borderId="0" xfId="2" applyFont="1" applyFill="1" applyAlignment="1">
      <alignment horizontal="left"/>
    </xf>
    <xf numFmtId="0" fontId="6" fillId="0" borderId="0" xfId="3" applyFont="1" applyAlignment="1">
      <alignment horizontal="left"/>
    </xf>
    <xf numFmtId="0" fontId="68" fillId="0" borderId="0" xfId="2" applyFont="1" applyAlignment="1">
      <alignment horizontal="left"/>
    </xf>
    <xf numFmtId="0" fontId="46" fillId="2" borderId="0" xfId="2" applyFont="1" applyFill="1" applyAlignment="1">
      <alignment horizontal="left"/>
    </xf>
    <xf numFmtId="0" fontId="68" fillId="0" borderId="0" xfId="2" applyFont="1" applyAlignment="1">
      <alignment horizontal="left" vertical="center"/>
    </xf>
    <xf numFmtId="0" fontId="11" fillId="2" borderId="0" xfId="2" applyFont="1" applyFill="1" applyBorder="1"/>
    <xf numFmtId="0" fontId="66" fillId="2" borderId="0" xfId="2" applyFont="1" applyFill="1" applyAlignment="1">
      <alignment horizontal="left"/>
    </xf>
    <xf numFmtId="0" fontId="6" fillId="0" borderId="0" xfId="2" applyFont="1" applyAlignment="1">
      <alignment horizontal="left"/>
    </xf>
    <xf numFmtId="0" fontId="46" fillId="0" borderId="0" xfId="2" applyFont="1" applyFill="1" applyAlignment="1">
      <alignment horizontal="left" vertical="center" wrapText="1"/>
    </xf>
    <xf numFmtId="0" fontId="46" fillId="0" borderId="0" xfId="2" applyFont="1" applyFill="1" applyAlignment="1">
      <alignment horizontal="left"/>
    </xf>
    <xf numFmtId="0" fontId="66" fillId="0" borderId="0" xfId="2" applyFont="1" applyFill="1"/>
    <xf numFmtId="38" fontId="6" fillId="0" borderId="0" xfId="2" applyNumberFormat="1" applyFont="1" applyAlignment="1">
      <alignment horizontal="left" vertical="center" wrapText="1"/>
    </xf>
    <xf numFmtId="166" fontId="6" fillId="0" borderId="0" xfId="2" applyNumberFormat="1" applyFont="1" applyAlignment="1">
      <alignment horizontal="left"/>
    </xf>
    <xf numFmtId="166" fontId="6" fillId="2" borderId="0" xfId="2" applyNumberFormat="1" applyFont="1" applyFill="1" applyAlignment="1">
      <alignment horizontal="left"/>
    </xf>
    <xf numFmtId="165" fontId="6" fillId="2" borderId="0" xfId="2" applyNumberFormat="1" applyFont="1" applyFill="1" applyAlignment="1">
      <alignment horizontal="left"/>
    </xf>
    <xf numFmtId="0" fontId="46" fillId="0" borderId="0" xfId="2" applyFont="1" applyAlignment="1">
      <alignment horizontal="left" vertical="center" wrapText="1"/>
    </xf>
    <xf numFmtId="38" fontId="46" fillId="0" borderId="0" xfId="2" applyNumberFormat="1" applyFont="1" applyAlignment="1">
      <alignment horizontal="left" vertical="center" wrapText="1"/>
    </xf>
    <xf numFmtId="0" fontId="46" fillId="0" borderId="0" xfId="2" applyFont="1" applyAlignment="1">
      <alignment horizontal="left"/>
    </xf>
    <xf numFmtId="166" fontId="46" fillId="0" borderId="0" xfId="2" applyNumberFormat="1" applyFont="1" applyAlignment="1">
      <alignment horizontal="left"/>
    </xf>
    <xf numFmtId="0" fontId="12" fillId="3" borderId="0" xfId="4" applyFont="1" applyFill="1"/>
    <xf numFmtId="0" fontId="10" fillId="0" borderId="0" xfId="0" applyFont="1" applyAlignment="1">
      <alignment horizontal="justify" vertical="center"/>
    </xf>
    <xf numFmtId="0" fontId="69" fillId="0" borderId="0" xfId="4" applyFont="1"/>
    <xf numFmtId="0" fontId="12" fillId="3" borderId="0" xfId="4" applyFont="1" applyFill="1" applyAlignment="1">
      <alignment wrapText="1"/>
    </xf>
    <xf numFmtId="0" fontId="46" fillId="4" borderId="12" xfId="0" applyFont="1" applyFill="1" applyBorder="1"/>
    <xf numFmtId="0" fontId="46" fillId="4" borderId="11" xfId="0" applyFont="1" applyFill="1" applyBorder="1"/>
    <xf numFmtId="0" fontId="10" fillId="4" borderId="24" xfId="0" applyFont="1" applyFill="1" applyBorder="1"/>
    <xf numFmtId="0" fontId="6" fillId="4" borderId="0" xfId="0" applyFont="1" applyFill="1" applyBorder="1"/>
    <xf numFmtId="0" fontId="11" fillId="3" borderId="0" xfId="4" applyFont="1" applyFill="1"/>
    <xf numFmtId="0" fontId="10" fillId="4" borderId="0" xfId="0" applyFont="1" applyFill="1"/>
    <xf numFmtId="0" fontId="64" fillId="0" borderId="0" xfId="0" applyFont="1" applyAlignment="1">
      <alignment vertical="top" wrapText="1"/>
    </xf>
    <xf numFmtId="0" fontId="12" fillId="3" borderId="0" xfId="4" applyFont="1" applyFill="1" applyAlignment="1">
      <alignment vertical="top" wrapText="1"/>
    </xf>
    <xf numFmtId="0" fontId="6" fillId="4" borderId="0" xfId="0" applyFont="1" applyFill="1"/>
    <xf numFmtId="0" fontId="0" fillId="0" borderId="0" xfId="0" applyFont="1"/>
    <xf numFmtId="0" fontId="0" fillId="0" borderId="6" xfId="0" applyFont="1" applyBorder="1"/>
    <xf numFmtId="0" fontId="10" fillId="2" borderId="0" xfId="1" applyFont="1" applyFill="1"/>
    <xf numFmtId="0" fontId="0" fillId="2" borderId="0" xfId="0" applyFont="1" applyFill="1"/>
    <xf numFmtId="0" fontId="0" fillId="0" borderId="0" xfId="0" quotePrefix="1" applyFont="1" applyAlignment="1">
      <alignment readingOrder="1"/>
    </xf>
    <xf numFmtId="0" fontId="0" fillId="0" borderId="0" xfId="0" quotePrefix="1" applyFont="1"/>
    <xf numFmtId="0" fontId="0" fillId="0" borderId="0" xfId="0" applyFont="1" applyBorder="1"/>
    <xf numFmtId="0" fontId="10" fillId="2" borderId="0" xfId="1" applyFont="1" applyFill="1" applyBorder="1"/>
    <xf numFmtId="0" fontId="0" fillId="2" borderId="0" xfId="0" applyFont="1" applyFill="1" applyBorder="1"/>
    <xf numFmtId="0" fontId="0" fillId="0" borderId="0" xfId="0" applyFont="1" applyFill="1"/>
    <xf numFmtId="0" fontId="70" fillId="0" borderId="0" xfId="0" applyFont="1" applyFill="1"/>
    <xf numFmtId="0" fontId="70" fillId="0" borderId="0" xfId="0" applyFont="1"/>
    <xf numFmtId="0" fontId="71" fillId="2" borderId="0" xfId="1" applyFont="1" applyFill="1" applyAlignment="1">
      <alignment horizontal="left"/>
    </xf>
    <xf numFmtId="0" fontId="71" fillId="2" borderId="0" xfId="1" applyFont="1" applyFill="1"/>
    <xf numFmtId="0" fontId="10" fillId="2" borderId="0" xfId="1" applyFont="1" applyFill="1" applyAlignment="1">
      <alignment horizontal="left"/>
    </xf>
    <xf numFmtId="0" fontId="11" fillId="3" borderId="0" xfId="4" applyFont="1" applyFill="1" applyAlignment="1">
      <alignment horizontal="right"/>
    </xf>
    <xf numFmtId="0" fontId="11" fillId="3" borderId="11" xfId="4" applyFont="1" applyFill="1" applyBorder="1"/>
    <xf numFmtId="0" fontId="11" fillId="3" borderId="11" xfId="4" applyFont="1" applyFill="1" applyBorder="1" applyAlignment="1">
      <alignment horizontal="right"/>
    </xf>
    <xf numFmtId="0" fontId="11" fillId="3" borderId="10" xfId="4" applyFont="1" applyFill="1" applyBorder="1" applyAlignment="1">
      <alignment horizontal="right"/>
    </xf>
    <xf numFmtId="0" fontId="11" fillId="3" borderId="23" xfId="4" applyFont="1" applyFill="1" applyBorder="1" applyAlignment="1">
      <alignment horizontal="left"/>
    </xf>
    <xf numFmtId="0" fontId="11" fillId="3" borderId="23" xfId="4" applyFont="1" applyFill="1" applyBorder="1"/>
    <xf numFmtId="0" fontId="6" fillId="6" borderId="0" xfId="0" applyFont="1" applyFill="1"/>
    <xf numFmtId="0" fontId="9" fillId="0" borderId="0" xfId="0" applyFont="1" applyFill="1"/>
    <xf numFmtId="3" fontId="6" fillId="0" borderId="0" xfId="0" applyNumberFormat="1" applyFont="1" applyFill="1"/>
    <xf numFmtId="0" fontId="6" fillId="2" borderId="0" xfId="0" applyFont="1" applyFill="1"/>
    <xf numFmtId="0" fontId="72" fillId="0" borderId="0" xfId="0" applyFont="1" applyFill="1"/>
    <xf numFmtId="3" fontId="12" fillId="0" borderId="0" xfId="0" applyNumberFormat="1" applyFont="1" applyFill="1"/>
    <xf numFmtId="3" fontId="12" fillId="0" borderId="0" xfId="4" applyNumberFormat="1" applyFont="1" applyFill="1"/>
    <xf numFmtId="0" fontId="12" fillId="0" borderId="0" xfId="0" applyFont="1"/>
    <xf numFmtId="0" fontId="12" fillId="2" borderId="0" xfId="4" applyFont="1" applyFill="1" applyAlignment="1">
      <alignment vertical="top" wrapText="1"/>
    </xf>
    <xf numFmtId="2" fontId="12" fillId="2" borderId="0" xfId="4" applyNumberFormat="1" applyFont="1" applyFill="1"/>
    <xf numFmtId="0" fontId="11" fillId="2" borderId="0" xfId="4" applyFont="1" applyFill="1" applyAlignment="1">
      <alignment vertical="top"/>
    </xf>
    <xf numFmtId="2" fontId="11" fillId="2" borderId="10" xfId="4" applyNumberFormat="1" applyFont="1" applyFill="1" applyBorder="1"/>
    <xf numFmtId="2" fontId="12" fillId="2" borderId="0" xfId="4" applyNumberFormat="1" applyFont="1" applyFill="1" applyAlignment="1">
      <alignment vertical="top" wrapText="1"/>
    </xf>
    <xf numFmtId="2" fontId="70" fillId="2" borderId="0" xfId="0" applyNumberFormat="1" applyFont="1" applyFill="1"/>
    <xf numFmtId="2" fontId="6" fillId="6" borderId="0" xfId="0" applyNumberFormat="1" applyFont="1" applyFill="1"/>
    <xf numFmtId="2" fontId="6" fillId="2" borderId="0" xfId="0" applyNumberFormat="1" applyFont="1" applyFill="1"/>
    <xf numFmtId="0" fontId="11" fillId="0" borderId="23" xfId="0" applyFont="1" applyBorder="1"/>
    <xf numFmtId="167" fontId="0" fillId="0" borderId="0" xfId="0" applyNumberFormat="1" applyFont="1"/>
    <xf numFmtId="167" fontId="0" fillId="0" borderId="0" xfId="0" applyNumberFormat="1" applyFont="1" applyFill="1"/>
    <xf numFmtId="0" fontId="0" fillId="0" borderId="0" xfId="0" applyFont="1" applyAlignment="1"/>
    <xf numFmtId="0" fontId="7" fillId="0" borderId="0" xfId="9"/>
    <xf numFmtId="0" fontId="11" fillId="0" borderId="0" xfId="0" applyFont="1" applyBorder="1"/>
    <xf numFmtId="0" fontId="11" fillId="0" borderId="0" xfId="0" applyFont="1" applyBorder="1" applyAlignment="1">
      <alignment horizontal="right"/>
    </xf>
    <xf numFmtId="0" fontId="7" fillId="0" borderId="0" xfId="9" applyBorder="1"/>
    <xf numFmtId="166" fontId="0" fillId="0" borderId="0" xfId="0" applyNumberFormat="1" applyFont="1"/>
    <xf numFmtId="166" fontId="71" fillId="2" borderId="0" xfId="1" applyNumberFormat="1" applyFont="1" applyFill="1"/>
    <xf numFmtId="166" fontId="10" fillId="2" borderId="0" xfId="1" applyNumberFormat="1" applyFont="1" applyFill="1"/>
    <xf numFmtId="166" fontId="7" fillId="2" borderId="0" xfId="9" applyNumberFormat="1" applyFill="1" applyAlignment="1"/>
    <xf numFmtId="0" fontId="71" fillId="2" borderId="0" xfId="2" applyFont="1" applyFill="1" applyAlignment="1">
      <alignment wrapText="1"/>
    </xf>
    <xf numFmtId="166" fontId="46" fillId="0" borderId="0" xfId="2" applyNumberFormat="1" applyFont="1" applyFill="1" applyAlignment="1">
      <alignment horizontal="left" vertical="center" wrapText="1"/>
    </xf>
    <xf numFmtId="0" fontId="46" fillId="0" borderId="0" xfId="2" applyFont="1" applyFill="1" applyAlignment="1">
      <alignment horizontal="left" vertical="center"/>
    </xf>
    <xf numFmtId="166" fontId="46" fillId="2" borderId="0" xfId="2" applyNumberFormat="1" applyFont="1" applyFill="1" applyAlignment="1">
      <alignment horizontal="left"/>
    </xf>
    <xf numFmtId="0" fontId="10" fillId="2" borderId="0" xfId="1" applyFont="1" applyFill="1" applyAlignment="1">
      <alignment vertical="center"/>
    </xf>
    <xf numFmtId="0" fontId="0" fillId="0" borderId="0" xfId="0" applyFont="1" applyAlignment="1">
      <alignment vertical="center"/>
    </xf>
    <xf numFmtId="0" fontId="0" fillId="0" borderId="0" xfId="0" applyNumberFormat="1" applyFont="1" applyAlignment="1">
      <alignment horizontal="left"/>
    </xf>
    <xf numFmtId="169" fontId="71" fillId="2" borderId="0" xfId="1" applyNumberFormat="1" applyFont="1" applyFill="1" applyAlignment="1">
      <alignment horizontal="left"/>
    </xf>
    <xf numFmtId="0" fontId="0" fillId="0" borderId="0" xfId="0" applyFont="1" applyAlignment="1">
      <alignment horizontal="left"/>
    </xf>
    <xf numFmtId="169" fontId="10" fillId="2" borderId="0" xfId="1" applyNumberFormat="1" applyFont="1" applyFill="1" applyAlignment="1">
      <alignment horizontal="left"/>
    </xf>
    <xf numFmtId="169" fontId="7" fillId="2" borderId="0" xfId="9" applyNumberFormat="1" applyFill="1" applyAlignment="1">
      <alignment horizontal="left"/>
    </xf>
    <xf numFmtId="169" fontId="0" fillId="0" borderId="0" xfId="0" applyNumberFormat="1" applyFont="1" applyAlignment="1">
      <alignment horizontal="left"/>
    </xf>
    <xf numFmtId="169" fontId="6" fillId="2" borderId="0" xfId="2" applyNumberFormat="1" applyFont="1" applyFill="1" applyAlignment="1">
      <alignment horizontal="left"/>
    </xf>
    <xf numFmtId="169" fontId="46" fillId="2" borderId="0" xfId="2" applyNumberFormat="1" applyFont="1" applyFill="1" applyAlignment="1">
      <alignment horizontal="left"/>
    </xf>
    <xf numFmtId="0" fontId="10" fillId="2" borderId="0" xfId="2" applyFont="1" applyFill="1" applyAlignment="1">
      <alignment horizontal="left" wrapText="1"/>
    </xf>
    <xf numFmtId="0" fontId="46" fillId="0" borderId="0" xfId="2" applyFont="1" applyFill="1" applyAlignment="1">
      <alignment horizontal="left" wrapText="1"/>
    </xf>
    <xf numFmtId="169" fontId="46" fillId="0" borderId="0" xfId="2" applyNumberFormat="1" applyFont="1" applyFill="1" applyAlignment="1">
      <alignment horizontal="left" wrapText="1"/>
    </xf>
    <xf numFmtId="169" fontId="46" fillId="0" borderId="0" xfId="2" applyNumberFormat="1" applyFont="1" applyFill="1" applyAlignment="1">
      <alignment horizontal="left"/>
    </xf>
    <xf numFmtId="0" fontId="71" fillId="2" borderId="0" xfId="2" applyFont="1" applyFill="1" applyAlignment="1">
      <alignment horizontal="left" wrapText="1"/>
    </xf>
    <xf numFmtId="0" fontId="71" fillId="2" borderId="0" xfId="2" applyFont="1" applyFill="1" applyAlignment="1">
      <alignment horizontal="left" vertical="top" wrapText="1"/>
    </xf>
    <xf numFmtId="169" fontId="6" fillId="0" borderId="0" xfId="2" applyNumberFormat="1" applyFont="1" applyAlignment="1">
      <alignment horizontal="left" wrapText="1"/>
    </xf>
    <xf numFmtId="169" fontId="6" fillId="0" borderId="0" xfId="2" applyNumberFormat="1" applyFont="1" applyAlignment="1">
      <alignment horizontal="left"/>
    </xf>
    <xf numFmtId="169" fontId="46" fillId="0" borderId="0" xfId="2" applyNumberFormat="1" applyFont="1" applyAlignment="1">
      <alignment horizontal="left" wrapText="1"/>
    </xf>
    <xf numFmtId="169" fontId="46" fillId="0" borderId="0" xfId="2" applyNumberFormat="1" applyFont="1" applyAlignment="1">
      <alignment horizontal="left"/>
    </xf>
    <xf numFmtId="169" fontId="6" fillId="0" borderId="0" xfId="2" applyNumberFormat="1" applyFont="1" applyFill="1" applyAlignment="1">
      <alignment horizontal="left" wrapText="1"/>
    </xf>
    <xf numFmtId="0" fontId="7" fillId="2" borderId="0" xfId="9" applyFill="1" applyAlignment="1">
      <alignment horizontal="left"/>
    </xf>
    <xf numFmtId="166" fontId="46" fillId="0" borderId="0" xfId="2" applyNumberFormat="1" applyFont="1" applyFill="1" applyAlignment="1">
      <alignment horizontal="left" vertical="center"/>
    </xf>
    <xf numFmtId="164" fontId="71" fillId="2" borderId="0" xfId="1" applyNumberFormat="1" applyFont="1" applyFill="1"/>
    <xf numFmtId="0" fontId="71" fillId="0" borderId="0" xfId="0" applyFont="1"/>
    <xf numFmtId="0" fontId="11" fillId="2" borderId="0" xfId="0" applyFont="1" applyFill="1"/>
    <xf numFmtId="0" fontId="12" fillId="2" borderId="0" xfId="0" applyFont="1" applyFill="1"/>
    <xf numFmtId="0" fontId="10" fillId="2" borderId="0" xfId="3" applyFont="1" applyFill="1"/>
    <xf numFmtId="164" fontId="10" fillId="2" borderId="0" xfId="1" applyNumberFormat="1" applyFont="1" applyFill="1"/>
    <xf numFmtId="166" fontId="12" fillId="0" borderId="0" xfId="0" applyNumberFormat="1" applyFont="1"/>
    <xf numFmtId="165" fontId="10" fillId="2" borderId="0" xfId="1" applyNumberFormat="1" applyFont="1" applyFill="1"/>
    <xf numFmtId="1" fontId="12" fillId="2" borderId="0" xfId="0" applyNumberFormat="1" applyFont="1" applyFill="1"/>
    <xf numFmtId="0" fontId="10" fillId="2" borderId="0" xfId="3" applyFont="1" applyFill="1" applyAlignment="1">
      <alignment horizontal="right"/>
    </xf>
    <xf numFmtId="3" fontId="6" fillId="2" borderId="0" xfId="0" applyNumberFormat="1" applyFont="1" applyFill="1" applyAlignment="1">
      <alignment horizontal="center" vertical="center"/>
    </xf>
    <xf numFmtId="1" fontId="12" fillId="2" borderId="4" xfId="0" applyNumberFormat="1" applyFont="1" applyFill="1" applyBorder="1"/>
    <xf numFmtId="3" fontId="7" fillId="0" borderId="0" xfId="9" applyNumberFormat="1" applyFill="1"/>
    <xf numFmtId="0" fontId="73" fillId="0" borderId="0" xfId="0" applyFont="1" applyFill="1"/>
    <xf numFmtId="3" fontId="0" fillId="0" borderId="0" xfId="0" applyNumberFormat="1" applyFont="1" applyFill="1"/>
    <xf numFmtId="168" fontId="70" fillId="0" borderId="0" xfId="0" applyNumberFormat="1" applyFont="1" applyFill="1" applyAlignment="1">
      <alignment horizontal="right"/>
    </xf>
    <xf numFmtId="166" fontId="70" fillId="0" borderId="0" xfId="0" applyNumberFormat="1" applyFont="1" applyFill="1"/>
    <xf numFmtId="168" fontId="6" fillId="0" borderId="0" xfId="0" applyNumberFormat="1" applyFont="1" applyFill="1" applyAlignment="1">
      <alignment horizontal="right"/>
    </xf>
    <xf numFmtId="166" fontId="6" fillId="0" borderId="0" xfId="0" applyNumberFormat="1" applyFont="1" applyFill="1"/>
    <xf numFmtId="168" fontId="0" fillId="0" borderId="0" xfId="0" applyNumberFormat="1" applyFont="1" applyFill="1" applyAlignment="1">
      <alignment horizontal="right"/>
    </xf>
    <xf numFmtId="166" fontId="0" fillId="0" borderId="0" xfId="0" applyNumberFormat="1" applyFont="1" applyFill="1"/>
    <xf numFmtId="3" fontId="70" fillId="0" borderId="0" xfId="0" applyNumberFormat="1" applyFont="1" applyFill="1"/>
    <xf numFmtId="168" fontId="46" fillId="0" borderId="0" xfId="0" applyNumberFormat="1" applyFont="1" applyFill="1" applyAlignment="1">
      <alignment horizontal="right"/>
    </xf>
    <xf numFmtId="166" fontId="46" fillId="0" borderId="0" xfId="0" applyNumberFormat="1" applyFont="1" applyFill="1"/>
    <xf numFmtId="3" fontId="9" fillId="0" borderId="0" xfId="0" applyNumberFormat="1" applyFont="1" applyFill="1"/>
    <xf numFmtId="3" fontId="72" fillId="0" borderId="0" xfId="0" applyNumberFormat="1" applyFont="1" applyFill="1"/>
    <xf numFmtId="0" fontId="71" fillId="2" borderId="0" xfId="1" applyNumberFormat="1" applyFont="1" applyFill="1"/>
    <xf numFmtId="0" fontId="10" fillId="2" borderId="0" xfId="1" applyNumberFormat="1" applyFont="1" applyFill="1"/>
    <xf numFmtId="169" fontId="10" fillId="2" borderId="0" xfId="1" applyNumberFormat="1" applyFont="1" applyFill="1"/>
    <xf numFmtId="0" fontId="71" fillId="2" borderId="6" xfId="1" applyFont="1" applyFill="1" applyBorder="1"/>
    <xf numFmtId="0" fontId="71" fillId="2" borderId="6" xfId="1" applyNumberFormat="1" applyFont="1" applyFill="1" applyBorder="1"/>
    <xf numFmtId="0" fontId="71" fillId="2" borderId="0" xfId="3" applyNumberFormat="1" applyFont="1" applyFill="1"/>
    <xf numFmtId="0" fontId="64" fillId="2" borderId="0" xfId="1" applyFont="1" applyFill="1" applyAlignment="1">
      <alignment horizontal="right"/>
    </xf>
    <xf numFmtId="0" fontId="64" fillId="2" borderId="0" xfId="1" applyNumberFormat="1" applyFont="1" applyFill="1" applyAlignment="1">
      <alignment horizontal="right"/>
    </xf>
    <xf numFmtId="0" fontId="64" fillId="2" borderId="0" xfId="3" applyNumberFormat="1" applyFont="1" applyFill="1" applyAlignment="1">
      <alignment horizontal="right"/>
    </xf>
    <xf numFmtId="169" fontId="71" fillId="2" borderId="6" xfId="1" applyNumberFormat="1" applyFont="1" applyFill="1" applyBorder="1"/>
    <xf numFmtId="164" fontId="71" fillId="2" borderId="6" xfId="1" applyNumberFormat="1" applyFont="1" applyFill="1" applyBorder="1"/>
    <xf numFmtId="0" fontId="64" fillId="2" borderId="0" xfId="1" applyNumberFormat="1" applyFont="1" applyFill="1"/>
    <xf numFmtId="0" fontId="12" fillId="2" borderId="0" xfId="0" applyNumberFormat="1" applyFont="1" applyFill="1"/>
    <xf numFmtId="0" fontId="41" fillId="4" borderId="0" xfId="0" applyFont="1" applyFill="1" applyBorder="1" applyAlignment="1"/>
    <xf numFmtId="0" fontId="41" fillId="0" borderId="0" xfId="0" applyFont="1" applyFill="1" applyBorder="1" applyAlignment="1"/>
    <xf numFmtId="0" fontId="38" fillId="4" borderId="0" xfId="0" applyFont="1" applyFill="1" applyBorder="1" applyAlignment="1"/>
    <xf numFmtId="0" fontId="74" fillId="4" borderId="0" xfId="0" applyFont="1" applyFill="1" applyBorder="1" applyAlignment="1"/>
    <xf numFmtId="0" fontId="74" fillId="4" borderId="0" xfId="0" applyFont="1" applyFill="1" applyBorder="1" applyAlignment="1">
      <alignment wrapText="1"/>
    </xf>
    <xf numFmtId="0" fontId="41" fillId="4" borderId="0" xfId="0" applyFont="1" applyFill="1" applyBorder="1" applyAlignment="1">
      <alignment wrapText="1"/>
    </xf>
    <xf numFmtId="0" fontId="74" fillId="4" borderId="6" xfId="0" applyFont="1" applyFill="1" applyBorder="1" applyAlignment="1"/>
    <xf numFmtId="0" fontId="36" fillId="0" borderId="6" xfId="0" applyFont="1" applyFill="1" applyBorder="1" applyAlignment="1"/>
    <xf numFmtId="0" fontId="36" fillId="4" borderId="6" xfId="0" applyFont="1" applyFill="1" applyBorder="1" applyAlignment="1"/>
    <xf numFmtId="0" fontId="36" fillId="4" borderId="4" xfId="0" applyFont="1" applyFill="1" applyBorder="1" applyAlignment="1"/>
    <xf numFmtId="0" fontId="0" fillId="0" borderId="0" xfId="0" applyFont="1" applyBorder="1" applyAlignment="1"/>
    <xf numFmtId="0" fontId="10" fillId="0" borderId="28" xfId="1" applyFont="1" applyFill="1" applyBorder="1"/>
    <xf numFmtId="0" fontId="12" fillId="2" borderId="10" xfId="4" applyFont="1" applyFill="1" applyBorder="1"/>
    <xf numFmtId="0" fontId="12" fillId="3" borderId="28" xfId="2" applyFont="1" applyFill="1" applyBorder="1"/>
    <xf numFmtId="0" fontId="12" fillId="3" borderId="10" xfId="2" applyFont="1" applyFill="1" applyBorder="1"/>
    <xf numFmtId="0" fontId="12" fillId="2" borderId="28" xfId="2" applyFont="1" applyFill="1" applyBorder="1"/>
    <xf numFmtId="2" fontId="12" fillId="2" borderId="10" xfId="2" applyNumberFormat="1" applyFont="1" applyFill="1" applyBorder="1"/>
    <xf numFmtId="2" fontId="12" fillId="2" borderId="29" xfId="2" applyNumberFormat="1" applyFont="1" applyFill="1" applyBorder="1"/>
    <xf numFmtId="0" fontId="6" fillId="4" borderId="28" xfId="0" applyFont="1" applyFill="1" applyBorder="1"/>
    <xf numFmtId="0" fontId="6" fillId="4" borderId="10" xfId="0" applyFont="1" applyFill="1" applyBorder="1"/>
    <xf numFmtId="0" fontId="0" fillId="0" borderId="28" xfId="0" applyFont="1" applyBorder="1"/>
    <xf numFmtId="0" fontId="0" fillId="0" borderId="10" xfId="0" applyFont="1" applyBorder="1"/>
    <xf numFmtId="0" fontId="0" fillId="0" borderId="29" xfId="0" applyFont="1" applyBorder="1"/>
    <xf numFmtId="0" fontId="0" fillId="0" borderId="0" xfId="0" quotePrefix="1" applyFont="1" applyBorder="1"/>
    <xf numFmtId="0" fontId="10" fillId="2" borderId="0" xfId="1" applyFont="1" applyFill="1" applyBorder="1" applyAlignment="1">
      <alignment horizontal="left"/>
    </xf>
    <xf numFmtId="0" fontId="6" fillId="6" borderId="28" xfId="0" applyFont="1" applyFill="1" applyBorder="1"/>
    <xf numFmtId="0" fontId="6" fillId="0" borderId="10" xfId="0" applyFont="1" applyFill="1" applyBorder="1"/>
    <xf numFmtId="0" fontId="12" fillId="2" borderId="28" xfId="4" applyFont="1" applyFill="1" applyBorder="1"/>
    <xf numFmtId="2" fontId="6" fillId="6" borderId="10" xfId="0" applyNumberFormat="1" applyFont="1" applyFill="1" applyBorder="1"/>
    <xf numFmtId="0" fontId="71" fillId="2" borderId="10" xfId="1" applyFont="1" applyFill="1" applyBorder="1" applyAlignment="1">
      <alignment horizontal="left"/>
    </xf>
    <xf numFmtId="0" fontId="71" fillId="2" borderId="10" xfId="1" applyFont="1" applyFill="1" applyBorder="1"/>
    <xf numFmtId="0" fontId="11" fillId="0" borderId="10" xfId="0" applyFont="1" applyBorder="1"/>
    <xf numFmtId="0" fontId="0" fillId="0" borderId="0" xfId="0" quotePrefix="1" applyFont="1" applyBorder="1" applyAlignment="1">
      <alignment readingOrder="1"/>
    </xf>
    <xf numFmtId="0" fontId="41" fillId="4" borderId="10" xfId="0" applyFont="1" applyFill="1" applyBorder="1" applyAlignment="1"/>
    <xf numFmtId="0" fontId="38" fillId="0" borderId="10" xfId="0" applyFont="1" applyFill="1" applyBorder="1" applyAlignment="1"/>
    <xf numFmtId="167" fontId="0" fillId="0" borderId="6" xfId="0" applyNumberFormat="1" applyFont="1" applyBorder="1"/>
    <xf numFmtId="0" fontId="0" fillId="0" borderId="1"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xf>
    <xf numFmtId="0" fontId="60" fillId="0" borderId="4" xfId="0" applyFont="1" applyFill="1" applyBorder="1" applyAlignment="1">
      <alignment horizontal="left" vertical="top" wrapText="1"/>
    </xf>
    <xf numFmtId="0" fontId="60" fillId="0" borderId="0" xfId="0" applyFont="1" applyFill="1" applyBorder="1" applyAlignment="1">
      <alignment horizontal="left" vertical="top" wrapText="1"/>
    </xf>
    <xf numFmtId="169" fontId="6" fillId="3" borderId="0" xfId="2" applyNumberFormat="1" applyFont="1" applyFill="1" applyAlignment="1">
      <alignment horizontal="left" wrapText="1"/>
    </xf>
    <xf numFmtId="0" fontId="74" fillId="4" borderId="5" xfId="0" applyFont="1" applyFill="1" applyBorder="1" applyAlignment="1"/>
    <xf numFmtId="2" fontId="36" fillId="0" borderId="0" xfId="0" applyNumberFormat="1" applyFont="1" applyFill="1" applyBorder="1" applyAlignment="1"/>
    <xf numFmtId="0" fontId="27" fillId="12" borderId="0" xfId="0" applyFont="1" applyFill="1" applyBorder="1" applyAlignment="1"/>
    <xf numFmtId="0" fontId="11" fillId="0" borderId="0" xfId="0" applyFont="1" applyAlignment="1">
      <alignment horizontal="left" vertical="top"/>
    </xf>
    <xf numFmtId="0" fontId="10" fillId="2" borderId="5" xfId="1" applyFont="1" applyFill="1" applyBorder="1" applyAlignment="1">
      <alignment wrapText="1"/>
    </xf>
    <xf numFmtId="0" fontId="22" fillId="0" borderId="0" xfId="0" applyFont="1" applyFill="1" applyBorder="1" applyAlignment="1">
      <alignment vertical="top" wrapText="1"/>
    </xf>
    <xf numFmtId="0" fontId="24" fillId="0" borderId="0" xfId="0" applyFont="1" applyFill="1" applyBorder="1" applyAlignment="1">
      <alignment vertical="top" wrapText="1"/>
    </xf>
    <xf numFmtId="0" fontId="11" fillId="0" borderId="0" xfId="0" applyFont="1" applyAlignment="1">
      <alignment vertical="top"/>
    </xf>
    <xf numFmtId="0" fontId="76" fillId="3" borderId="0" xfId="0" applyFont="1" applyFill="1" applyBorder="1" applyAlignment="1"/>
    <xf numFmtId="0" fontId="0" fillId="2" borderId="0" xfId="2" applyFont="1" applyFill="1"/>
    <xf numFmtId="0" fontId="0" fillId="0" borderId="0" xfId="2" applyFont="1" applyFill="1"/>
    <xf numFmtId="0" fontId="0" fillId="2" borderId="0" xfId="2" applyFont="1" applyFill="1" applyBorder="1"/>
    <xf numFmtId="0" fontId="0" fillId="2" borderId="28" xfId="2" applyFont="1" applyFill="1" applyBorder="1"/>
    <xf numFmtId="0" fontId="0" fillId="2" borderId="10" xfId="2" applyFont="1" applyFill="1" applyBorder="1"/>
    <xf numFmtId="0" fontId="24" fillId="0" borderId="0" xfId="0" applyFont="1" applyFill="1" applyBorder="1" applyAlignment="1">
      <alignment vertical="top"/>
    </xf>
    <xf numFmtId="0" fontId="12" fillId="2" borderId="0" xfId="4" applyFont="1" applyFill="1" applyBorder="1"/>
    <xf numFmtId="0" fontId="77" fillId="0" borderId="0" xfId="2" applyFont="1" applyFill="1"/>
    <xf numFmtId="0" fontId="77" fillId="0" borderId="0" xfId="0" applyFont="1"/>
    <xf numFmtId="0" fontId="78" fillId="0" borderId="0" xfId="0" applyFont="1"/>
    <xf numFmtId="0" fontId="78" fillId="0" borderId="0" xfId="4" applyFont="1"/>
    <xf numFmtId="0" fontId="77" fillId="2" borderId="0" xfId="4" applyFont="1" applyFill="1" applyAlignment="1">
      <alignment vertical="top" wrapText="1"/>
    </xf>
    <xf numFmtId="2" fontId="11" fillId="2" borderId="0" xfId="4" applyNumberFormat="1" applyFont="1" applyFill="1"/>
    <xf numFmtId="0" fontId="78" fillId="2" borderId="0" xfId="4" applyFont="1" applyFill="1" applyAlignment="1">
      <alignment vertical="top"/>
    </xf>
    <xf numFmtId="0" fontId="78" fillId="0" borderId="0" xfId="0" applyFont="1" applyAlignment="1">
      <alignment vertical="top"/>
    </xf>
    <xf numFmtId="0" fontId="71" fillId="2" borderId="0" xfId="1" applyFont="1" applyFill="1" applyAlignment="1">
      <alignment vertical="top" wrapText="1"/>
    </xf>
    <xf numFmtId="0" fontId="71" fillId="2" borderId="0" xfId="1" applyNumberFormat="1" applyFont="1" applyFill="1" applyAlignment="1">
      <alignment vertical="top" wrapText="1"/>
    </xf>
    <xf numFmtId="169" fontId="71" fillId="2" borderId="0" xfId="1" applyNumberFormat="1" applyFont="1" applyFill="1" applyAlignment="1">
      <alignment vertical="top" wrapText="1"/>
    </xf>
    <xf numFmtId="164" fontId="71" fillId="2" borderId="0" xfId="1" applyNumberFormat="1" applyFont="1" applyFill="1" applyAlignment="1">
      <alignment vertical="top" wrapText="1"/>
    </xf>
    <xf numFmtId="0" fontId="80" fillId="0" borderId="0" xfId="4" applyFont="1"/>
    <xf numFmtId="0" fontId="81" fillId="0" borderId="0" xfId="0" applyFont="1"/>
    <xf numFmtId="0" fontId="80" fillId="0" borderId="0" xfId="0" applyFont="1"/>
    <xf numFmtId="0" fontId="78" fillId="0" borderId="0" xfId="2" applyFont="1" applyFill="1"/>
    <xf numFmtId="0" fontId="82" fillId="0" borderId="0" xfId="0" applyFont="1"/>
    <xf numFmtId="0" fontId="83" fillId="0" borderId="0" xfId="0" applyFont="1" applyAlignment="1">
      <alignment horizontal="center" vertical="center"/>
    </xf>
    <xf numFmtId="0" fontId="84" fillId="13" borderId="0" xfId="0" applyFont="1" applyFill="1" applyAlignment="1">
      <alignment vertical="center"/>
    </xf>
    <xf numFmtId="0" fontId="19" fillId="7" borderId="0" xfId="0" applyFont="1" applyFill="1" applyAlignment="1">
      <alignment vertical="center"/>
    </xf>
    <xf numFmtId="0" fontId="85" fillId="0" borderId="0" xfId="0" applyFont="1"/>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top" wrapText="1"/>
    </xf>
    <xf numFmtId="3"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3" fontId="0" fillId="0" borderId="25" xfId="0" applyNumberFormat="1" applyFont="1" applyFill="1" applyBorder="1" applyAlignment="1">
      <alignment horizontal="left" vertical="center"/>
    </xf>
    <xf numFmtId="0" fontId="6" fillId="0" borderId="1" xfId="0" applyFont="1" applyFill="1" applyBorder="1" applyAlignment="1">
      <alignment horizontal="center" vertical="center"/>
    </xf>
    <xf numFmtId="3" fontId="0" fillId="0" borderId="1" xfId="0" applyNumberFormat="1" applyFont="1" applyFill="1" applyBorder="1" applyAlignment="1">
      <alignment horizontal="left" vertical="center"/>
    </xf>
    <xf numFmtId="0" fontId="33" fillId="2" borderId="0" xfId="3" applyNumberFormat="1" applyFont="1" applyFill="1" applyBorder="1"/>
    <xf numFmtId="165" fontId="33" fillId="0" borderId="0" xfId="1" applyNumberFormat="1" applyFont="1" applyFill="1" applyBorder="1"/>
    <xf numFmtId="166" fontId="33" fillId="0" borderId="0" xfId="1" applyNumberFormat="1" applyFont="1" applyFill="1" applyBorder="1"/>
    <xf numFmtId="0" fontId="6" fillId="4" borderId="0" xfId="9" applyNumberFormat="1" applyFont="1" applyFill="1" applyBorder="1" applyAlignment="1"/>
    <xf numFmtId="0" fontId="6" fillId="0" borderId="0" xfId="9" applyFont="1"/>
    <xf numFmtId="2" fontId="12" fillId="2" borderId="0" xfId="2" applyNumberFormat="1" applyFont="1" applyFill="1" applyBorder="1" applyAlignment="1">
      <alignment horizontal="right"/>
    </xf>
    <xf numFmtId="2" fontId="12" fillId="2" borderId="10" xfId="2" applyNumberFormat="1" applyFont="1" applyFill="1" applyBorder="1" applyAlignment="1">
      <alignment horizontal="right"/>
    </xf>
    <xf numFmtId="0" fontId="12" fillId="3" borderId="0" xfId="4" applyFont="1" applyFill="1" applyBorder="1"/>
    <xf numFmtId="2" fontId="12" fillId="2" borderId="0" xfId="4" applyNumberFormat="1" applyFont="1" applyFill="1" applyBorder="1"/>
    <xf numFmtId="166" fontId="0" fillId="0" borderId="0" xfId="0" applyNumberFormat="1" applyFont="1" applyAlignment="1">
      <alignment horizontal="left"/>
    </xf>
    <xf numFmtId="166" fontId="11" fillId="0" borderId="0" xfId="0" applyNumberFormat="1" applyFont="1" applyAlignment="1">
      <alignment horizontal="left"/>
    </xf>
    <xf numFmtId="0" fontId="12" fillId="2" borderId="0" xfId="0" applyFont="1" applyFill="1" applyBorder="1"/>
    <xf numFmtId="0" fontId="12" fillId="0" borderId="0" xfId="0" applyFont="1" applyBorder="1"/>
    <xf numFmtId="0" fontId="10" fillId="2" borderId="0" xfId="3" applyFont="1" applyFill="1" applyBorder="1"/>
    <xf numFmtId="166" fontId="12" fillId="0" borderId="0" xfId="0" applyNumberFormat="1" applyFont="1" applyBorder="1"/>
    <xf numFmtId="166" fontId="10" fillId="2" borderId="0" xfId="1" applyNumberFormat="1" applyFont="1" applyFill="1" applyBorder="1"/>
    <xf numFmtId="1" fontId="12" fillId="2" borderId="0" xfId="0" applyNumberFormat="1" applyFont="1" applyFill="1" applyBorder="1"/>
    <xf numFmtId="0" fontId="12" fillId="3" borderId="5" xfId="2" applyFont="1" applyFill="1" applyBorder="1"/>
    <xf numFmtId="0" fontId="12" fillId="2" borderId="5" xfId="2" applyFont="1" applyFill="1" applyBorder="1"/>
    <xf numFmtId="2" fontId="12" fillId="2" borderId="5" xfId="2" applyNumberFormat="1" applyFont="1" applyFill="1" applyBorder="1"/>
    <xf numFmtId="2" fontId="12" fillId="2" borderId="5" xfId="2" applyNumberFormat="1" applyFont="1" applyFill="1" applyBorder="1" applyAlignment="1">
      <alignment horizontal="right"/>
    </xf>
    <xf numFmtId="0" fontId="12" fillId="3" borderId="5" xfId="4" applyFont="1" applyFill="1" applyBorder="1"/>
    <xf numFmtId="0" fontId="6" fillId="4" borderId="5" xfId="0" applyFont="1" applyFill="1" applyBorder="1"/>
    <xf numFmtId="0" fontId="0" fillId="0" borderId="5" xfId="0" applyFont="1" applyBorder="1"/>
    <xf numFmtId="0" fontId="0" fillId="0" borderId="5" xfId="0" quotePrefix="1" applyFont="1" applyBorder="1" applyAlignment="1">
      <alignment readingOrder="1"/>
    </xf>
    <xf numFmtId="0" fontId="0" fillId="0" borderId="5" xfId="0" quotePrefix="1" applyFont="1" applyBorder="1"/>
    <xf numFmtId="2" fontId="12" fillId="2" borderId="5" xfId="4" applyNumberFormat="1" applyFont="1" applyFill="1" applyBorder="1"/>
    <xf numFmtId="0" fontId="0" fillId="2" borderId="5" xfId="2" applyFont="1" applyFill="1" applyBorder="1"/>
    <xf numFmtId="0" fontId="86" fillId="0" borderId="0" xfId="0" applyFont="1"/>
    <xf numFmtId="0" fontId="56" fillId="2" borderId="0" xfId="1" applyFont="1" applyFill="1" applyBorder="1" applyAlignment="1">
      <alignment horizontal="left"/>
    </xf>
    <xf numFmtId="0" fontId="1" fillId="2" borderId="0" xfId="0" applyFont="1" applyFill="1"/>
    <xf numFmtId="0" fontId="1" fillId="2" borderId="0" xfId="0" applyNumberFormat="1" applyFont="1" applyFill="1"/>
    <xf numFmtId="169" fontId="1" fillId="2" borderId="0" xfId="0" applyNumberFormat="1" applyFont="1" applyFill="1"/>
    <xf numFmtId="166" fontId="1" fillId="0" borderId="0" xfId="0" applyNumberFormat="1" applyFont="1"/>
    <xf numFmtId="1" fontId="1" fillId="2" borderId="0" xfId="0" applyNumberFormat="1" applyFont="1" applyFill="1"/>
    <xf numFmtId="0" fontId="1" fillId="0" borderId="0" xfId="0" applyFont="1"/>
    <xf numFmtId="0" fontId="1" fillId="2" borderId="0" xfId="0" applyNumberFormat="1" applyFont="1" applyFill="1" applyBorder="1"/>
    <xf numFmtId="166" fontId="1" fillId="0" borderId="0" xfId="0" applyNumberFormat="1" applyFont="1" applyBorder="1"/>
    <xf numFmtId="0" fontId="1" fillId="2" borderId="0" xfId="0" applyFont="1" applyFill="1" applyBorder="1"/>
    <xf numFmtId="1" fontId="1" fillId="2" borderId="0" xfId="0" applyNumberFormat="1" applyFont="1" applyFill="1" applyBorder="1"/>
    <xf numFmtId="0" fontId="1" fillId="0" borderId="0" xfId="0" applyFont="1" applyBorder="1"/>
    <xf numFmtId="169" fontId="1" fillId="2" borderId="0" xfId="0" applyNumberFormat="1" applyFont="1" applyFill="1" applyAlignment="1">
      <alignment horizontal="right"/>
    </xf>
    <xf numFmtId="169" fontId="1" fillId="2" borderId="0" xfId="1" applyNumberFormat="1" applyFont="1" applyFill="1"/>
    <xf numFmtId="1" fontId="1" fillId="2" borderId="4" xfId="0" applyNumberFormat="1" applyFont="1" applyFill="1" applyBorder="1"/>
    <xf numFmtId="0" fontId="0" fillId="0" borderId="0" xfId="0"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4" fillId="0" borderId="0" xfId="0" applyFont="1" applyFill="1" applyBorder="1" applyAlignment="1"/>
    <xf numFmtId="0" fontId="74" fillId="0" borderId="6" xfId="0" applyFont="1" applyFill="1" applyBorder="1" applyAlignment="1"/>
    <xf numFmtId="0" fontId="6" fillId="0" borderId="0" xfId="0" applyFont="1" applyFill="1" applyBorder="1" applyAlignment="1">
      <alignment vertical="center" wrapText="1"/>
    </xf>
    <xf numFmtId="0" fontId="87" fillId="0" borderId="0" xfId="0" applyFont="1" applyFill="1" applyBorder="1" applyAlignment="1">
      <alignment wrapText="1"/>
    </xf>
    <xf numFmtId="0" fontId="88" fillId="0" borderId="0" xfId="0" applyFont="1" applyFill="1" applyBorder="1" applyAlignment="1">
      <alignment wrapText="1"/>
    </xf>
    <xf numFmtId="0" fontId="36" fillId="0" borderId="4" xfId="0" applyFont="1" applyFill="1" applyBorder="1" applyAlignment="1"/>
    <xf numFmtId="0" fontId="36" fillId="0" borderId="7" xfId="0" applyFont="1" applyFill="1" applyBorder="1" applyAlignment="1">
      <alignment horizontal="center" wrapText="1"/>
    </xf>
    <xf numFmtId="0" fontId="36" fillId="0" borderId="17" xfId="0" applyFont="1" applyFill="1" applyBorder="1" applyAlignment="1">
      <alignment horizontal="center" wrapText="1"/>
    </xf>
    <xf numFmtId="0" fontId="60" fillId="0" borderId="15" xfId="0" applyFont="1" applyFill="1" applyBorder="1" applyAlignment="1">
      <alignment horizontal="left" vertical="top" wrapText="1"/>
    </xf>
    <xf numFmtId="0" fontId="0" fillId="0" borderId="0" xfId="0" applyFill="1" applyAlignment="1">
      <alignment horizontal="left" vertical="top" wrapText="1"/>
    </xf>
    <xf numFmtId="0" fontId="61" fillId="0" borderId="0" xfId="0" applyFont="1" applyFill="1" applyAlignment="1">
      <alignment horizontal="left" vertical="top"/>
    </xf>
    <xf numFmtId="0" fontId="36" fillId="0" borderId="7" xfId="0" applyFont="1" applyFill="1" applyBorder="1" applyAlignment="1">
      <alignment horizontal="left" wrapText="1"/>
    </xf>
    <xf numFmtId="0" fontId="36" fillId="0" borderId="17" xfId="0" applyFont="1" applyFill="1" applyBorder="1" applyAlignment="1">
      <alignment horizontal="left" wrapText="1"/>
    </xf>
    <xf numFmtId="0" fontId="36" fillId="0" borderId="17" xfId="0" applyFont="1" applyFill="1" applyBorder="1" applyAlignment="1">
      <alignment horizontal="left"/>
    </xf>
    <xf numFmtId="0" fontId="36" fillId="0" borderId="15" xfId="0" applyFont="1" applyFill="1" applyBorder="1" applyAlignment="1">
      <alignment horizontal="left" wrapText="1"/>
    </xf>
    <xf numFmtId="0" fontId="36" fillId="0" borderId="14" xfId="0" applyFont="1" applyFill="1" applyBorder="1" applyAlignment="1">
      <alignment horizontal="left" wrapText="1"/>
    </xf>
    <xf numFmtId="0" fontId="36" fillId="0" borderId="0" xfId="0" applyFont="1" applyFill="1" applyBorder="1" applyAlignment="1">
      <alignment horizontal="left" wrapText="1"/>
    </xf>
    <xf numFmtId="0" fontId="36" fillId="0" borderId="0" xfId="0" applyFont="1" applyFill="1" applyBorder="1" applyAlignment="1">
      <alignment horizontal="left"/>
    </xf>
    <xf numFmtId="0" fontId="36" fillId="0" borderId="4" xfId="0" applyFont="1" applyFill="1" applyBorder="1" applyAlignment="1">
      <alignment horizontal="left" wrapText="1"/>
    </xf>
    <xf numFmtId="4" fontId="0" fillId="0" borderId="1" xfId="0" applyNumberFormat="1" applyFont="1" applyFill="1" applyBorder="1" applyAlignment="1">
      <alignment horizontal="right" vertical="top" wrapText="1"/>
    </xf>
    <xf numFmtId="0" fontId="36" fillId="0" borderId="7" xfId="0" applyFont="1" applyFill="1" applyBorder="1" applyAlignment="1">
      <alignment vertical="top" wrapText="1"/>
    </xf>
    <xf numFmtId="0" fontId="36" fillId="0" borderId="17" xfId="0" applyFont="1" applyFill="1" applyBorder="1" applyAlignment="1">
      <alignment vertical="top" wrapText="1"/>
    </xf>
    <xf numFmtId="0" fontId="7" fillId="0" borderId="0" xfId="9" applyFill="1" applyBorder="1" applyAlignment="1">
      <alignment vertical="top"/>
    </xf>
    <xf numFmtId="0" fontId="7" fillId="0" borderId="7" xfId="9" applyFill="1" applyBorder="1" applyAlignment="1">
      <alignment vertical="top" wrapText="1"/>
    </xf>
    <xf numFmtId="0" fontId="11" fillId="0" borderId="0" xfId="0" applyFont="1" applyFill="1" applyAlignment="1">
      <alignment horizontal="center"/>
    </xf>
    <xf numFmtId="0" fontId="11" fillId="0" borderId="1" xfId="0" applyFont="1" applyFill="1" applyBorder="1" applyAlignment="1">
      <alignment horizontal="center" vertical="top" wrapText="1"/>
    </xf>
    <xf numFmtId="2" fontId="6" fillId="0" borderId="1" xfId="0" applyNumberFormat="1" applyFont="1" applyFill="1" applyBorder="1" applyAlignment="1">
      <alignment horizontal="right"/>
    </xf>
    <xf numFmtId="0" fontId="9" fillId="0" borderId="1" xfId="0" applyFont="1" applyFill="1" applyBorder="1" applyAlignment="1">
      <alignment horizontal="center"/>
    </xf>
    <xf numFmtId="4" fontId="0" fillId="0" borderId="1" xfId="0" applyNumberFormat="1" applyFont="1" applyFill="1" applyBorder="1" applyAlignment="1">
      <alignment horizontal="left" vertical="top"/>
    </xf>
    <xf numFmtId="0" fontId="35" fillId="0" borderId="0" xfId="0" applyFont="1" applyFill="1" applyBorder="1" applyAlignment="1"/>
    <xf numFmtId="0" fontId="44" fillId="0" borderId="0" xfId="0" applyFont="1" applyFill="1" applyBorder="1" applyAlignment="1"/>
    <xf numFmtId="0" fontId="12" fillId="0" borderId="0" xfId="2" applyFont="1" applyFill="1" applyBorder="1"/>
    <xf numFmtId="0" fontId="90" fillId="2" borderId="0" xfId="0" applyFont="1" applyFill="1"/>
    <xf numFmtId="0" fontId="91" fillId="2" borderId="0" xfId="0" applyFont="1" applyFill="1"/>
    <xf numFmtId="0" fontId="92" fillId="2" borderId="0" xfId="0" applyFont="1" applyFill="1"/>
    <xf numFmtId="0" fontId="36" fillId="0" borderId="33" xfId="0" applyFont="1" applyFill="1" applyBorder="1" applyAlignment="1">
      <alignment vertical="center"/>
    </xf>
    <xf numFmtId="0" fontId="36" fillId="0" borderId="33" xfId="0" applyFont="1" applyFill="1" applyBorder="1" applyAlignment="1">
      <alignment horizontal="left" vertical="center"/>
    </xf>
    <xf numFmtId="0" fontId="36" fillId="0" borderId="34" xfId="0" applyFont="1" applyFill="1" applyBorder="1" applyAlignment="1">
      <alignment vertical="center"/>
    </xf>
    <xf numFmtId="0" fontId="36" fillId="0" borderId="34" xfId="0" applyFont="1" applyFill="1" applyBorder="1" applyAlignment="1">
      <alignment horizontal="left" vertical="center"/>
    </xf>
    <xf numFmtId="0" fontId="36" fillId="0" borderId="33" xfId="0" applyFont="1" applyFill="1" applyBorder="1" applyAlignment="1">
      <alignment horizontal="center" vertical="center"/>
    </xf>
    <xf numFmtId="3" fontId="0" fillId="0" borderId="0" xfId="0" applyNumberFormat="1" applyFont="1" applyFill="1" applyBorder="1" applyAlignment="1">
      <alignment horizontal="left" vertical="center" wrapText="1"/>
    </xf>
    <xf numFmtId="170" fontId="11" fillId="0" borderId="0" xfId="0" applyNumberFormat="1" applyFont="1" applyFill="1" applyAlignment="1">
      <alignment horizontal="center"/>
    </xf>
    <xf numFmtId="170" fontId="60" fillId="0" borderId="0" xfId="0" applyNumberFormat="1" applyFont="1" applyFill="1" applyBorder="1" applyAlignment="1">
      <alignment horizontal="center"/>
    </xf>
    <xf numFmtId="170" fontId="36" fillId="0" borderId="0" xfId="0" applyNumberFormat="1" applyFont="1" applyFill="1" applyAlignment="1">
      <alignment horizontal="center"/>
    </xf>
    <xf numFmtId="170" fontId="9" fillId="0" borderId="1" xfId="0" applyNumberFormat="1" applyFont="1" applyFill="1" applyBorder="1" applyAlignment="1">
      <alignment horizontal="center"/>
    </xf>
    <xf numFmtId="170" fontId="0" fillId="0" borderId="0" xfId="0" applyNumberFormat="1" applyFont="1" applyFill="1" applyBorder="1" applyAlignment="1">
      <alignment horizontal="center" vertical="center"/>
    </xf>
    <xf numFmtId="170" fontId="60" fillId="0" borderId="0" xfId="0" applyNumberFormat="1" applyFont="1" applyFill="1" applyBorder="1" applyAlignment="1">
      <alignment horizontal="center" vertical="center"/>
    </xf>
    <xf numFmtId="170" fontId="0" fillId="0" borderId="0" xfId="0" applyNumberFormat="1" applyFill="1" applyAlignment="1">
      <alignment horizontal="center"/>
    </xf>
    <xf numFmtId="170" fontId="36" fillId="0" borderId="0" xfId="0" applyNumberFormat="1" applyFont="1" applyFill="1" applyBorder="1" applyAlignment="1">
      <alignment horizontal="center"/>
    </xf>
    <xf numFmtId="170" fontId="36" fillId="0" borderId="7" xfId="0" applyNumberFormat="1" applyFont="1" applyFill="1" applyBorder="1" applyAlignment="1">
      <alignment horizontal="center" wrapText="1"/>
    </xf>
    <xf numFmtId="170" fontId="36" fillId="0" borderId="17" xfId="0" applyNumberFormat="1" applyFont="1" applyFill="1" applyBorder="1" applyAlignment="1">
      <alignment horizontal="center" wrapText="1"/>
    </xf>
    <xf numFmtId="2" fontId="0" fillId="0" borderId="1" xfId="0" applyNumberFormat="1" applyFont="1" applyFill="1" applyBorder="1" applyAlignment="1">
      <alignment horizontal="right" vertical="center" wrapText="1"/>
    </xf>
    <xf numFmtId="2" fontId="0" fillId="0" borderId="4" xfId="0" applyNumberFormat="1" applyFont="1" applyFill="1" applyBorder="1" applyAlignment="1">
      <alignment horizontal="right" vertical="center" wrapText="1"/>
    </xf>
    <xf numFmtId="2" fontId="0" fillId="0" borderId="2" xfId="0" applyNumberFormat="1" applyFont="1" applyFill="1" applyBorder="1" applyAlignment="1">
      <alignment horizontal="right" vertical="center" wrapText="1"/>
    </xf>
    <xf numFmtId="2" fontId="36" fillId="0" borderId="7" xfId="0" applyNumberFormat="1" applyFont="1" applyFill="1" applyBorder="1" applyAlignment="1">
      <alignment horizontal="right"/>
    </xf>
    <xf numFmtId="2" fontId="0" fillId="0" borderId="1" xfId="0" applyNumberFormat="1" applyFill="1" applyBorder="1" applyAlignment="1">
      <alignment horizontal="right" vertical="center" wrapText="1"/>
    </xf>
    <xf numFmtId="2" fontId="6" fillId="0" borderId="1" xfId="0" applyNumberFormat="1" applyFont="1" applyFill="1" applyBorder="1" applyAlignment="1">
      <alignment horizontal="right" vertical="center"/>
    </xf>
    <xf numFmtId="2" fontId="6" fillId="0" borderId="1" xfId="0" applyNumberFormat="1" applyFont="1" applyFill="1" applyBorder="1" applyAlignment="1">
      <alignment horizontal="right" wrapText="1"/>
    </xf>
    <xf numFmtId="2" fontId="60" fillId="0" borderId="7" xfId="0" applyNumberFormat="1" applyFont="1" applyFill="1" applyBorder="1" applyAlignment="1">
      <alignment horizontal="right" wrapText="1"/>
    </xf>
    <xf numFmtId="2" fontId="0" fillId="0" borderId="1" xfId="0" applyNumberFormat="1" applyFont="1" applyFill="1" applyBorder="1" applyAlignment="1">
      <alignment horizontal="right" vertical="center"/>
    </xf>
    <xf numFmtId="2" fontId="60" fillId="0" borderId="4" xfId="0" applyNumberFormat="1" applyFont="1" applyFill="1" applyBorder="1" applyAlignment="1">
      <alignment horizontal="right" vertical="center" wrapText="1"/>
    </xf>
    <xf numFmtId="2" fontId="36" fillId="0" borderId="4" xfId="0" applyNumberFormat="1" applyFont="1" applyFill="1" applyBorder="1" applyAlignment="1">
      <alignment horizontal="right"/>
    </xf>
    <xf numFmtId="2" fontId="60" fillId="0" borderId="0" xfId="0" applyNumberFormat="1" applyFont="1" applyFill="1" applyBorder="1" applyAlignment="1">
      <alignment horizontal="right"/>
    </xf>
    <xf numFmtId="2" fontId="60" fillId="0" borderId="7" xfId="0" applyNumberFormat="1" applyFont="1" applyFill="1" applyBorder="1" applyAlignment="1">
      <alignment horizontal="right" vertical="center" wrapText="1"/>
    </xf>
    <xf numFmtId="2" fontId="0" fillId="0" borderId="0" xfId="0" applyNumberFormat="1" applyFill="1" applyAlignment="1">
      <alignment horizontal="right"/>
    </xf>
    <xf numFmtId="2" fontId="11" fillId="0" borderId="1" xfId="0" applyNumberFormat="1" applyFont="1" applyFill="1" applyBorder="1" applyAlignment="1">
      <alignment horizontal="right" vertical="center" wrapText="1"/>
    </xf>
    <xf numFmtId="2" fontId="36" fillId="0" borderId="4" xfId="0" applyNumberFormat="1" applyFont="1" applyFill="1" applyBorder="1" applyAlignment="1">
      <alignment horizontal="right" wrapText="1"/>
    </xf>
    <xf numFmtId="2" fontId="36" fillId="0" borderId="15" xfId="0" applyNumberFormat="1" applyFont="1" applyFill="1" applyBorder="1" applyAlignment="1">
      <alignment horizontal="right" wrapText="1"/>
    </xf>
    <xf numFmtId="2" fontId="36" fillId="0" borderId="14" xfId="0" applyNumberFormat="1" applyFont="1" applyFill="1" applyBorder="1" applyAlignment="1">
      <alignment horizontal="right" wrapText="1"/>
    </xf>
    <xf numFmtId="2" fontId="36" fillId="0" borderId="0" xfId="0" applyNumberFormat="1" applyFont="1" applyFill="1" applyBorder="1" applyAlignment="1">
      <alignment horizontal="right" wrapText="1"/>
    </xf>
    <xf numFmtId="2" fontId="88" fillId="0" borderId="0" xfId="0" applyNumberFormat="1" applyFont="1" applyFill="1" applyBorder="1" applyAlignment="1">
      <alignment horizontal="right" wrapText="1"/>
    </xf>
    <xf numFmtId="2" fontId="36" fillId="0" borderId="0" xfId="0" applyNumberFormat="1" applyFont="1" applyFill="1" applyBorder="1" applyAlignment="1">
      <alignment horizontal="right"/>
    </xf>
    <xf numFmtId="2" fontId="36" fillId="0" borderId="15" xfId="0" applyNumberFormat="1" applyFont="1" applyFill="1" applyBorder="1" applyAlignment="1">
      <alignment horizontal="right"/>
    </xf>
    <xf numFmtId="2" fontId="36" fillId="0" borderId="17" xfId="0" applyNumberFormat="1" applyFont="1" applyFill="1" applyBorder="1" applyAlignment="1">
      <alignment horizontal="right"/>
    </xf>
    <xf numFmtId="2" fontId="36" fillId="0" borderId="17" xfId="0" applyNumberFormat="1" applyFont="1" applyFill="1" applyBorder="1" applyAlignment="1">
      <alignment horizontal="right" wrapText="1"/>
    </xf>
    <xf numFmtId="0" fontId="36" fillId="0" borderId="35" xfId="0" applyFont="1" applyFill="1" applyBorder="1" applyAlignment="1">
      <alignment horizontal="center" vertical="center"/>
    </xf>
    <xf numFmtId="0" fontId="36" fillId="0" borderId="39" xfId="0" applyFont="1" applyFill="1" applyBorder="1" applyAlignment="1">
      <alignment vertical="center"/>
    </xf>
    <xf numFmtId="0" fontId="36" fillId="0" borderId="40" xfId="0" applyFont="1" applyFill="1" applyBorder="1" applyAlignment="1">
      <alignment vertical="center"/>
    </xf>
    <xf numFmtId="0" fontId="36" fillId="0" borderId="40" xfId="0" applyFont="1" applyFill="1" applyBorder="1" applyAlignment="1">
      <alignment horizontal="left" vertical="center"/>
    </xf>
    <xf numFmtId="0" fontId="7" fillId="0" borderId="19" xfId="9" applyFill="1" applyBorder="1" applyAlignment="1">
      <alignment horizontal="left" vertical="top" wrapText="1"/>
    </xf>
    <xf numFmtId="0" fontId="36" fillId="0" borderId="15" xfId="0" applyFont="1" applyFill="1" applyBorder="1" applyAlignment="1">
      <alignment wrapText="1"/>
    </xf>
    <xf numFmtId="0" fontId="36" fillId="0" borderId="15" xfId="0" applyFont="1" applyFill="1" applyBorder="1" applyAlignment="1"/>
    <xf numFmtId="0" fontId="7" fillId="0" borderId="18" xfId="9" applyFill="1" applyBorder="1" applyAlignment="1">
      <alignment horizontal="left" vertical="top" wrapText="1"/>
    </xf>
    <xf numFmtId="0" fontId="39" fillId="0" borderId="0" xfId="0" applyFont="1" applyFill="1" applyBorder="1" applyAlignment="1">
      <alignment horizontal="left" vertical="center" wrapText="1"/>
    </xf>
    <xf numFmtId="0" fontId="36" fillId="0" borderId="0" xfId="0" applyFont="1" applyFill="1" applyBorder="1" applyAlignment="1">
      <alignment vertical="center"/>
    </xf>
    <xf numFmtId="0" fontId="0" fillId="0" borderId="1" xfId="0" applyFill="1" applyBorder="1" applyAlignment="1">
      <alignment vertical="center"/>
    </xf>
    <xf numFmtId="0" fontId="0" fillId="0" borderId="3" xfId="0" applyFill="1" applyBorder="1" applyAlignment="1">
      <alignment horizontal="left" vertical="center"/>
    </xf>
    <xf numFmtId="0" fontId="0" fillId="0" borderId="2" xfId="0" applyFill="1" applyBorder="1" applyAlignment="1">
      <alignment horizontal="left" vertical="top" wrapText="1"/>
    </xf>
    <xf numFmtId="3" fontId="0" fillId="0" borderId="1" xfId="0" applyNumberFormat="1" applyFill="1" applyBorder="1" applyAlignment="1">
      <alignment horizontal="left" vertical="center"/>
    </xf>
    <xf numFmtId="0" fontId="0" fillId="0" borderId="3" xfId="0" applyFill="1" applyBorder="1" applyAlignment="1">
      <alignment vertical="center"/>
    </xf>
    <xf numFmtId="0" fontId="0" fillId="0" borderId="1" xfId="0" applyFill="1" applyBorder="1" applyAlignment="1">
      <alignment horizontal="left" vertical="center"/>
    </xf>
    <xf numFmtId="0" fontId="7" fillId="0" borderId="2" xfId="9" applyFill="1" applyBorder="1" applyAlignment="1">
      <alignment horizontal="left" vertical="top" wrapText="1"/>
    </xf>
    <xf numFmtId="0" fontId="7" fillId="0" borderId="3" xfId="9"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3" fontId="0" fillId="0" borderId="25" xfId="0" applyNumberFormat="1"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horizontal="left" vertical="top"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6" fillId="0" borderId="1" xfId="0" applyFont="1" applyFill="1" applyBorder="1" applyAlignment="1">
      <alignment horizontal="center" vertical="center"/>
    </xf>
    <xf numFmtId="3" fontId="0" fillId="0" borderId="1" xfId="0" applyNumberFormat="1" applyFont="1" applyFill="1" applyBorder="1" applyAlignment="1">
      <alignment horizontal="left" vertical="center"/>
    </xf>
    <xf numFmtId="3" fontId="0" fillId="0" borderId="1" xfId="0" applyNumberFormat="1" applyFont="1" applyFill="1" applyBorder="1" applyAlignment="1">
      <alignment horizontal="left" vertical="center" wrapText="1"/>
    </xf>
    <xf numFmtId="0" fontId="0" fillId="0" borderId="1" xfId="0" applyFill="1" applyBorder="1" applyAlignment="1">
      <alignment horizontal="left" vertical="top"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top" wrapText="1"/>
    </xf>
    <xf numFmtId="1" fontId="36" fillId="0" borderId="0" xfId="0" applyNumberFormat="1" applyFont="1" applyFill="1" applyBorder="1" applyAlignment="1">
      <alignment horizontal="left"/>
    </xf>
    <xf numFmtId="1" fontId="87" fillId="0" borderId="0" xfId="0" applyNumberFormat="1" applyFont="1" applyFill="1" applyBorder="1" applyAlignment="1">
      <alignment horizontal="left"/>
    </xf>
    <xf numFmtId="1" fontId="89" fillId="0" borderId="0" xfId="0" applyNumberFormat="1" applyFont="1" applyFill="1" applyBorder="1" applyAlignment="1">
      <alignment horizontal="left"/>
    </xf>
    <xf numFmtId="1" fontId="36" fillId="0" borderId="0" xfId="0" applyNumberFormat="1" applyFont="1" applyFill="1" applyBorder="1" applyAlignment="1">
      <alignment horizontal="left" vertical="center" wrapText="1"/>
    </xf>
    <xf numFmtId="1" fontId="36" fillId="0" borderId="0" xfId="0" applyNumberFormat="1" applyFont="1" applyFill="1" applyBorder="1" applyAlignment="1">
      <alignment horizontal="left" vertical="center"/>
    </xf>
    <xf numFmtId="0" fontId="12" fillId="2" borderId="23" xfId="4" applyFont="1" applyFill="1" applyBorder="1"/>
    <xf numFmtId="0" fontId="36" fillId="4" borderId="5" xfId="0" applyFont="1" applyFill="1" applyBorder="1" applyAlignment="1"/>
    <xf numFmtId="1" fontId="0" fillId="0" borderId="0" xfId="0" applyNumberFormat="1" applyFont="1" applyFill="1" applyBorder="1" applyAlignment="1">
      <alignment horizontal="left" vertical="center" wrapText="1"/>
    </xf>
    <xf numFmtId="1" fontId="36" fillId="0" borderId="0" xfId="0" applyNumberFormat="1" applyFont="1" applyFill="1" applyBorder="1" applyAlignment="1">
      <alignment horizontal="left" wrapText="1"/>
    </xf>
    <xf numFmtId="3" fontId="3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xf>
    <xf numFmtId="1"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center" vertical="top"/>
    </xf>
    <xf numFmtId="3" fontId="0" fillId="0" borderId="0" xfId="0" applyNumberFormat="1" applyFont="1" applyFill="1" applyBorder="1" applyAlignment="1">
      <alignment horizontal="center" vertical="top" wrapText="1"/>
    </xf>
    <xf numFmtId="0" fontId="7" fillId="0" borderId="0" xfId="9" applyFill="1" applyBorder="1" applyAlignment="1">
      <alignment horizontal="center"/>
    </xf>
    <xf numFmtId="0" fontId="35"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horizontal="center" vertical="center"/>
    </xf>
    <xf numFmtId="170" fontId="0" fillId="0" borderId="0" xfId="0" applyNumberForma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1" fontId="6" fillId="0" borderId="0" xfId="9"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46" fillId="0" borderId="0" xfId="0" applyFont="1" applyFill="1" applyBorder="1" applyAlignment="1">
      <alignment horizontal="left" vertical="center"/>
    </xf>
    <xf numFmtId="1" fontId="10" fillId="0" borderId="0" xfId="9" applyNumberFormat="1"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top"/>
    </xf>
    <xf numFmtId="0" fontId="46" fillId="0" borderId="0" xfId="0" applyFont="1" applyFill="1" applyBorder="1" applyAlignment="1">
      <alignment horizontal="center" vertical="top"/>
    </xf>
    <xf numFmtId="0" fontId="9" fillId="0" borderId="0" xfId="0" applyFont="1" applyFill="1" applyBorder="1" applyAlignment="1">
      <alignment horizontal="left" vertical="center"/>
    </xf>
    <xf numFmtId="1" fontId="6" fillId="0" borderId="0" xfId="0" applyNumberFormat="1" applyFont="1" applyFill="1" applyBorder="1" applyAlignment="1">
      <alignment horizontal="left"/>
    </xf>
    <xf numFmtId="0" fontId="6" fillId="0" borderId="0" xfId="0" applyFont="1" applyFill="1" applyBorder="1" applyAlignment="1">
      <alignment horizontal="left"/>
    </xf>
    <xf numFmtId="4" fontId="0"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1" fontId="6" fillId="0" borderId="0" xfId="0" applyNumberFormat="1" applyFont="1" applyFill="1" applyBorder="1" applyAlignment="1">
      <alignment horizontal="left" vertical="center" wrapText="1"/>
    </xf>
    <xf numFmtId="0" fontId="39" fillId="0" borderId="0" xfId="0" applyFont="1" applyFill="1" applyBorder="1" applyAlignment="1"/>
    <xf numFmtId="0" fontId="32" fillId="0" borderId="0" xfId="0" applyFont="1" applyFill="1" applyBorder="1" applyAlignment="1">
      <alignment horizontal="left" vertical="top" wrapText="1"/>
    </xf>
    <xf numFmtId="0" fontId="6" fillId="0" borderId="0" xfId="0" applyFont="1" applyFill="1" applyBorder="1" applyAlignment="1">
      <alignment horizontal="center" vertical="top"/>
    </xf>
    <xf numFmtId="1" fontId="0" fillId="0" borderId="0" xfId="0" applyNumberFormat="1" applyFill="1" applyBorder="1" applyAlignment="1">
      <alignment horizontal="left" vertical="center" wrapText="1"/>
    </xf>
    <xf numFmtId="4" fontId="0" fillId="0" borderId="0" xfId="0" applyNumberFormat="1" applyFill="1" applyBorder="1" applyAlignment="1">
      <alignment horizontal="left" vertical="center" wrapText="1"/>
    </xf>
    <xf numFmtId="14" fontId="6" fillId="0" borderId="0" xfId="0" applyNumberFormat="1" applyFont="1" applyFill="1" applyBorder="1" applyAlignment="1">
      <alignment horizontal="center" vertical="center"/>
    </xf>
    <xf numFmtId="0" fontId="7" fillId="0" borderId="0" xfId="9" applyFill="1" applyBorder="1" applyAlignment="1">
      <alignment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wrapText="1"/>
    </xf>
    <xf numFmtId="3" fontId="0" fillId="0" borderId="0" xfId="0" applyNumberFormat="1" applyFill="1" applyBorder="1" applyAlignment="1">
      <alignment horizontal="left" vertical="top" wrapText="1"/>
    </xf>
    <xf numFmtId="0" fontId="0" fillId="0" borderId="0" xfId="0" applyFill="1" applyBorder="1" applyAlignment="1">
      <alignment vertical="center"/>
    </xf>
    <xf numFmtId="0" fontId="13" fillId="0" borderId="0" xfId="0" applyFont="1" applyFill="1" applyBorder="1" applyAlignment="1">
      <alignment horizontal="left" vertical="center"/>
    </xf>
    <xf numFmtId="3" fontId="0" fillId="0" borderId="0" xfId="0" applyNumberFormat="1" applyFill="1" applyBorder="1" applyAlignment="1">
      <alignment horizontal="center" vertical="top" wrapText="1"/>
    </xf>
    <xf numFmtId="0" fontId="36" fillId="0" borderId="0" xfId="0" applyFont="1" applyFill="1" applyBorder="1" applyAlignment="1">
      <alignment horizontal="center" wrapText="1"/>
    </xf>
    <xf numFmtId="0" fontId="60" fillId="0" borderId="0" xfId="0" applyFont="1" applyFill="1" applyBorder="1" applyAlignment="1">
      <alignment horizontal="left"/>
    </xf>
    <xf numFmtId="0" fontId="36" fillId="0" borderId="0" xfId="0" applyFont="1" applyFill="1" applyBorder="1" applyAlignment="1">
      <alignment horizontal="center" vertical="top"/>
    </xf>
    <xf numFmtId="0" fontId="36" fillId="0" borderId="0" xfId="0" applyFont="1" applyFill="1" applyBorder="1"/>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top" wrapText="1"/>
    </xf>
    <xf numFmtId="3" fontId="11" fillId="0" borderId="2" xfId="0" applyNumberFormat="1" applyFont="1" applyFill="1" applyBorder="1" applyAlignment="1">
      <alignment horizontal="center" vertical="center" wrapText="1"/>
    </xf>
    <xf numFmtId="170"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0" fontId="46" fillId="0" borderId="2" xfId="0" applyFont="1" applyFill="1" applyBorder="1" applyAlignment="1">
      <alignment horizontal="center" vertical="center"/>
    </xf>
    <xf numFmtId="0" fontId="0" fillId="0" borderId="5" xfId="0" applyFont="1" applyBorder="1" applyAlignment="1"/>
    <xf numFmtId="0" fontId="36" fillId="4" borderId="24" xfId="0" applyFont="1" applyFill="1" applyBorder="1" applyAlignment="1"/>
    <xf numFmtId="2" fontId="36" fillId="0" borderId="5" xfId="0" applyNumberFormat="1" applyFont="1" applyFill="1" applyBorder="1" applyAlignment="1"/>
    <xf numFmtId="1" fontId="63" fillId="0" borderId="0" xfId="0" quotePrefix="1" applyNumberFormat="1" applyFont="1" applyFill="1" applyBorder="1" applyAlignment="1">
      <alignment horizontal="left"/>
    </xf>
    <xf numFmtId="1" fontId="0" fillId="0" borderId="0" xfId="0" quotePrefix="1" applyNumberFormat="1" applyFont="1" applyFill="1" applyBorder="1" applyAlignment="1">
      <alignment horizontal="left" vertical="center"/>
    </xf>
    <xf numFmtId="1" fontId="0" fillId="0" borderId="0" xfId="0" quotePrefix="1" applyNumberFormat="1" applyFont="1" applyFill="1" applyBorder="1" applyAlignment="1">
      <alignment horizontal="left"/>
    </xf>
    <xf numFmtId="0" fontId="74" fillId="0" borderId="0" xfId="0" applyFont="1" applyFill="1" applyBorder="1" applyAlignment="1">
      <alignment wrapText="1"/>
    </xf>
    <xf numFmtId="0" fontId="38" fillId="0" borderId="0" xfId="0" applyFont="1" applyFill="1" applyBorder="1" applyAlignment="1"/>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87" fillId="0" borderId="0" xfId="0" applyFont="1" applyFill="1" applyBorder="1" applyAlignment="1">
      <alignment horizontal="left" wrapText="1"/>
    </xf>
    <xf numFmtId="0" fontId="88" fillId="0" borderId="0" xfId="0" applyFont="1" applyFill="1" applyBorder="1" applyAlignment="1">
      <alignment horizontal="left" wrapText="1"/>
    </xf>
    <xf numFmtId="1" fontId="0" fillId="0" borderId="0" xfId="0" quotePrefix="1" applyNumberFormat="1" applyFont="1" applyFill="1" applyBorder="1" applyAlignment="1">
      <alignment horizontal="left" vertical="center" wrapText="1"/>
    </xf>
    <xf numFmtId="3" fontId="11" fillId="0" borderId="8" xfId="0" applyNumberFormat="1" applyFont="1" applyFill="1" applyBorder="1" applyAlignment="1">
      <alignment horizontal="center" vertical="center" wrapText="1"/>
    </xf>
    <xf numFmtId="0" fontId="0" fillId="0" borderId="0" xfId="0" applyFill="1" applyBorder="1" applyAlignment="1">
      <alignment horizontal="left" vertical="center"/>
    </xf>
    <xf numFmtId="0" fontId="93" fillId="0" borderId="0" xfId="0" applyFont="1"/>
    <xf numFmtId="0" fontId="36" fillId="0" borderId="17" xfId="0" applyFont="1" applyFill="1" applyBorder="1" applyAlignment="1">
      <alignment horizontal="center" vertical="center"/>
    </xf>
    <xf numFmtId="0" fontId="36" fillId="0" borderId="7" xfId="0" applyFont="1" applyFill="1" applyBorder="1" applyAlignment="1">
      <alignment horizontal="center"/>
    </xf>
    <xf numFmtId="0" fontId="36" fillId="0" borderId="17" xfId="0" applyFont="1" applyFill="1" applyBorder="1" applyAlignment="1">
      <alignment horizontal="center"/>
    </xf>
    <xf numFmtId="0" fontId="36" fillId="0" borderId="18" xfId="0" applyFont="1" applyFill="1" applyBorder="1" applyAlignment="1">
      <alignment horizontal="center"/>
    </xf>
    <xf numFmtId="0" fontId="36" fillId="0" borderId="0" xfId="0" applyFont="1" applyFill="1" applyAlignment="1">
      <alignment horizontal="center"/>
    </xf>
    <xf numFmtId="2" fontId="36" fillId="0" borderId="15" xfId="0" applyNumberFormat="1" applyFont="1" applyFill="1" applyBorder="1" applyAlignment="1">
      <alignment horizontal="right" vertical="center" wrapText="1"/>
    </xf>
    <xf numFmtId="1" fontId="0" fillId="0" borderId="0" xfId="0" applyNumberFormat="1" applyFill="1" applyBorder="1" applyAlignment="1">
      <alignment vertical="center"/>
    </xf>
    <xf numFmtId="3" fontId="94" fillId="0" borderId="0" xfId="0" applyNumberFormat="1" applyFont="1" applyFill="1" applyBorder="1" applyAlignment="1">
      <alignment horizontal="left" vertical="center"/>
    </xf>
    <xf numFmtId="170"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top" wrapText="1"/>
    </xf>
    <xf numFmtId="0" fontId="95" fillId="2" borderId="0" xfId="0" applyFont="1" applyFill="1"/>
    <xf numFmtId="3" fontId="7" fillId="0" borderId="0" xfId="9" applyNumberFormat="1" applyFill="1" applyBorder="1" applyAlignment="1">
      <alignment horizontal="center" vertical="top"/>
    </xf>
    <xf numFmtId="14" fontId="0" fillId="0" borderId="1" xfId="0" applyNumberFormat="1" applyFont="1" applyFill="1" applyBorder="1" applyAlignment="1">
      <alignment horizontal="left" vertical="center"/>
    </xf>
    <xf numFmtId="3" fontId="0" fillId="0" borderId="25" xfId="0" applyNumberFormat="1" applyFont="1" applyFill="1" applyBorder="1" applyAlignment="1">
      <alignment horizontal="center" vertical="center"/>
    </xf>
    <xf numFmtId="0" fontId="7" fillId="0" borderId="1" xfId="9" applyFill="1" applyBorder="1" applyAlignment="1">
      <alignment vertical="center" wrapText="1"/>
    </xf>
    <xf numFmtId="0" fontId="39" fillId="0" borderId="0" xfId="0" applyFont="1" applyFill="1" applyAlignment="1">
      <alignment vertical="center"/>
    </xf>
    <xf numFmtId="3" fontId="0" fillId="0" borderId="1" xfId="0" applyNumberFormat="1" applyFont="1" applyFill="1" applyBorder="1" applyAlignment="1">
      <alignment horizontal="center" vertical="top"/>
    </xf>
    <xf numFmtId="3" fontId="0" fillId="0" borderId="1" xfId="0" applyNumberFormat="1" applyFont="1" applyFill="1" applyBorder="1" applyAlignment="1">
      <alignment horizontal="left" vertical="top"/>
    </xf>
    <xf numFmtId="3" fontId="0" fillId="0" borderId="1" xfId="0" applyNumberFormat="1" applyFont="1" applyFill="1" applyBorder="1" applyAlignment="1">
      <alignment horizontal="right" vertical="center"/>
    </xf>
    <xf numFmtId="0" fontId="36" fillId="0" borderId="4" xfId="0" applyFont="1" applyFill="1" applyBorder="1" applyAlignment="1">
      <alignment horizontal="left" vertical="center"/>
    </xf>
    <xf numFmtId="0" fontId="63" fillId="0" borderId="0" xfId="0" quotePrefix="1" applyFont="1"/>
    <xf numFmtId="0" fontId="1" fillId="0" borderId="0" xfId="0" quotePrefix="1" applyFont="1" applyBorder="1"/>
    <xf numFmtId="0" fontId="0" fillId="0" borderId="0" xfId="0" applyFill="1" applyBorder="1" applyAlignment="1">
      <alignment horizontal="left" vertical="center"/>
    </xf>
    <xf numFmtId="0" fontId="24"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24" fillId="0" borderId="0" xfId="0" applyFont="1" applyFill="1" applyBorder="1" applyAlignment="1">
      <alignment wrapText="1"/>
    </xf>
    <xf numFmtId="0" fontId="21" fillId="0" borderId="0" xfId="0" applyFont="1" applyAlignment="1">
      <alignment horizontal="left" vertical="top" wrapText="1"/>
    </xf>
    <xf numFmtId="0" fontId="31" fillId="0" borderId="0" xfId="0" applyFont="1" applyAlignment="1">
      <alignment horizontal="center" vertical="center" wrapText="1"/>
    </xf>
    <xf numFmtId="0" fontId="19" fillId="0" borderId="0" xfId="0" applyFont="1" applyAlignment="1">
      <alignment horizontal="center" vertical="center" wrapText="1"/>
    </xf>
    <xf numFmtId="3" fontId="0" fillId="0" borderId="0" xfId="0" applyNumberFormat="1" applyFill="1" applyBorder="1" applyAlignment="1">
      <alignment horizontal="center" vertical="center"/>
    </xf>
    <xf numFmtId="0" fontId="36" fillId="0" borderId="0" xfId="0" applyFont="1" applyFill="1" applyBorder="1" applyAlignment="1">
      <alignment horizontal="left" vertical="center"/>
    </xf>
    <xf numFmtId="14" fontId="36" fillId="0" borderId="0" xfId="0" applyNumberFormat="1" applyFont="1" applyFill="1" applyBorder="1" applyAlignment="1">
      <alignment horizontal="left" vertical="center"/>
    </xf>
    <xf numFmtId="0" fontId="36" fillId="0" borderId="0" xfId="0" applyFont="1" applyFill="1" applyBorder="1" applyAlignment="1">
      <alignment horizontal="left" vertical="top" wrapText="1"/>
    </xf>
    <xf numFmtId="3" fontId="36" fillId="0" borderId="0" xfId="0" applyNumberFormat="1" applyFont="1" applyFill="1" applyBorder="1" applyAlignment="1">
      <alignment horizontal="left" vertical="center"/>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center" vertical="center"/>
    </xf>
    <xf numFmtId="0" fontId="7" fillId="0" borderId="0" xfId="9" applyFill="1" applyBorder="1" applyAlignment="1">
      <alignment horizontal="left" vertical="top" wrapText="1"/>
    </xf>
    <xf numFmtId="0" fontId="0" fillId="0" borderId="0" xfId="0" applyFill="1" applyBorder="1" applyAlignment="1">
      <alignment horizontal="center" vertical="center"/>
    </xf>
    <xf numFmtId="0" fontId="7" fillId="0" borderId="0" xfId="9" applyFill="1" applyBorder="1" applyAlignment="1">
      <alignment horizontal="center" vertical="top"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xf>
    <xf numFmtId="3" fontId="7" fillId="0" borderId="0" xfId="9" applyNumberFormat="1" applyFill="1" applyBorder="1" applyAlignment="1">
      <alignment horizontal="center" vertical="top" wrapText="1"/>
    </xf>
    <xf numFmtId="3" fontId="0" fillId="0" borderId="0" xfId="0" applyNumberFormat="1" applyFont="1" applyFill="1" applyBorder="1" applyAlignment="1">
      <alignment horizontal="center" vertical="center"/>
    </xf>
    <xf numFmtId="3" fontId="7" fillId="0" borderId="0" xfId="9" applyNumberForma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ill="1" applyBorder="1" applyAlignment="1">
      <alignment horizontal="left" vertical="center"/>
    </xf>
    <xf numFmtId="0" fontId="0" fillId="0" borderId="0" xfId="0" applyFill="1" applyBorder="1" applyAlignment="1">
      <alignment horizontal="left" vertical="top" wrapText="1"/>
    </xf>
    <xf numFmtId="0" fontId="36" fillId="0" borderId="0" xfId="0" applyFont="1" applyFill="1" applyBorder="1" applyAlignment="1">
      <alignment horizontal="center"/>
    </xf>
    <xf numFmtId="0" fontId="0" fillId="0" borderId="0" xfId="0" applyFill="1" applyBorder="1" applyAlignment="1">
      <alignment horizontal="left" vertical="center"/>
    </xf>
    <xf numFmtId="14" fontId="6" fillId="0" borderId="0" xfId="0" applyNumberFormat="1" applyFont="1" applyFill="1" applyBorder="1" applyAlignment="1">
      <alignment horizontal="left" vertical="center"/>
    </xf>
    <xf numFmtId="3" fontId="0" fillId="0" borderId="0" xfId="0" applyNumberFormat="1" applyFill="1" applyBorder="1" applyAlignment="1">
      <alignment horizontal="left" vertical="center" wrapText="1"/>
    </xf>
    <xf numFmtId="3" fontId="6" fillId="0" borderId="0" xfId="0" applyNumberFormat="1" applyFont="1" applyFill="1" applyBorder="1" applyAlignment="1">
      <alignment horizontal="left" vertical="center"/>
    </xf>
    <xf numFmtId="0" fontId="7" fillId="0" borderId="0" xfId="9" applyFill="1" applyBorder="1" applyAlignment="1">
      <alignment horizontal="left" vertical="center" wrapText="1"/>
    </xf>
    <xf numFmtId="14" fontId="0" fillId="0" borderId="0" xfId="0" applyNumberFormat="1" applyFill="1" applyBorder="1" applyAlignment="1">
      <alignment horizontal="left" vertical="center"/>
    </xf>
    <xf numFmtId="0" fontId="0" fillId="0" borderId="0" xfId="0" applyFill="1" applyBorder="1" applyAlignment="1">
      <alignment horizontal="center" vertical="top"/>
    </xf>
    <xf numFmtId="0" fontId="7" fillId="0" borderId="0" xfId="9" applyFill="1" applyBorder="1" applyAlignment="1">
      <alignment horizontal="center" wrapText="1"/>
    </xf>
    <xf numFmtId="0" fontId="6" fillId="0" borderId="0" xfId="0" applyFont="1"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1" fontId="0" fillId="0" borderId="0" xfId="0" applyNumberFormat="1" applyFill="1" applyBorder="1" applyAlignment="1">
      <alignment horizontal="left" vertical="center"/>
    </xf>
    <xf numFmtId="0" fontId="36" fillId="0" borderId="0" xfId="0" applyFont="1" applyFill="1" applyBorder="1" applyAlignment="1">
      <alignment vertical="top" wrapText="1"/>
    </xf>
    <xf numFmtId="3" fontId="6" fillId="0" borderId="0" xfId="0" applyNumberFormat="1" applyFont="1" applyFill="1" applyBorder="1" applyAlignment="1">
      <alignment horizontal="center" vertical="center"/>
    </xf>
    <xf numFmtId="0" fontId="0" fillId="0" borderId="0" xfId="0" applyFill="1" applyBorder="1" applyAlignment="1">
      <alignment horizontal="center" vertical="top" wrapText="1"/>
    </xf>
    <xf numFmtId="3" fontId="0" fillId="0" borderId="0" xfId="0" applyNumberFormat="1" applyFill="1" applyBorder="1" applyAlignment="1">
      <alignment horizontal="center" vertical="center" wrapText="1"/>
    </xf>
    <xf numFmtId="3" fontId="36" fillId="0" borderId="0" xfId="0" applyNumberFormat="1" applyFont="1" applyFill="1" applyBorder="1" applyAlignment="1">
      <alignment horizontal="left" vertical="center" wrapText="1"/>
    </xf>
    <xf numFmtId="14" fontId="0" fillId="0" borderId="0" xfId="0" applyNumberFormat="1" applyFill="1" applyBorder="1" applyAlignment="1">
      <alignment horizontal="left" vertical="center" wrapText="1"/>
    </xf>
    <xf numFmtId="3" fontId="36" fillId="0" borderId="0" xfId="0" applyNumberFormat="1" applyFont="1" applyFill="1" applyBorder="1" applyAlignment="1">
      <alignment horizontal="left" wrapText="1"/>
    </xf>
    <xf numFmtId="3" fontId="14" fillId="0" borderId="0" xfId="0" applyNumberFormat="1" applyFont="1" applyFill="1" applyBorder="1" applyAlignment="1">
      <alignment horizontal="left" vertical="center" wrapText="1"/>
    </xf>
    <xf numFmtId="0" fontId="39" fillId="0" borderId="0" xfId="0" applyFont="1" applyFill="1" applyBorder="1" applyAlignment="1">
      <alignment horizontal="left" vertical="top" wrapText="1"/>
    </xf>
    <xf numFmtId="0" fontId="36" fillId="0" borderId="0" xfId="0" applyFont="1" applyFill="1" applyBorder="1" applyAlignment="1">
      <alignment horizontal="left" vertical="top"/>
    </xf>
    <xf numFmtId="3" fontId="0" fillId="0" borderId="0" xfId="0" applyNumberFormat="1" applyFill="1" applyBorder="1" applyAlignment="1">
      <alignment horizontal="center" vertical="top"/>
    </xf>
    <xf numFmtId="0" fontId="6" fillId="0" borderId="0" xfId="9" applyFont="1" applyFill="1" applyBorder="1" applyAlignment="1">
      <alignment horizontal="center" vertical="center" wrapText="1"/>
    </xf>
    <xf numFmtId="0" fontId="0" fillId="0" borderId="0" xfId="0" applyFill="1" applyBorder="1" applyAlignment="1">
      <alignment horizontal="left" vertical="top"/>
    </xf>
    <xf numFmtId="3" fontId="0" fillId="0" borderId="0" xfId="0" applyNumberFormat="1" applyFont="1" applyFill="1" applyBorder="1" applyAlignment="1">
      <alignment horizontal="center" vertical="top"/>
    </xf>
    <xf numFmtId="0" fontId="0" fillId="0" borderId="0" xfId="0" applyFont="1" applyFill="1" applyBorder="1" applyAlignment="1">
      <alignment horizontal="left" vertical="top"/>
    </xf>
    <xf numFmtId="3" fontId="36" fillId="0" borderId="0" xfId="0" applyNumberFormat="1" applyFont="1" applyFill="1" applyBorder="1" applyAlignment="1">
      <alignment horizontal="center"/>
    </xf>
    <xf numFmtId="0" fontId="74" fillId="0" borderId="0" xfId="0" applyFont="1" applyFill="1" applyBorder="1" applyAlignment="1">
      <alignment horizontal="left" vertical="top" wrapText="1"/>
    </xf>
    <xf numFmtId="0" fontId="0" fillId="0" borderId="0" xfId="9" applyFont="1" applyFill="1" applyBorder="1" applyAlignment="1">
      <alignment horizontal="left" vertical="top" wrapText="1"/>
    </xf>
    <xf numFmtId="3" fontId="6" fillId="0" borderId="0" xfId="0" applyNumberFormat="1" applyFont="1" applyFill="1" applyBorder="1" applyAlignment="1">
      <alignment horizontal="left" vertical="center" wrapText="1"/>
    </xf>
    <xf numFmtId="0" fontId="7" fillId="0" borderId="0" xfId="9" applyFill="1" applyBorder="1" applyAlignment="1">
      <alignment vertical="top" wrapText="1"/>
    </xf>
    <xf numFmtId="0" fontId="7" fillId="0" borderId="0" xfId="9" applyFill="1" applyBorder="1" applyAlignment="1">
      <alignment horizontal="left" vertical="center"/>
    </xf>
    <xf numFmtId="0" fontId="10" fillId="0" borderId="0" xfId="9" applyFont="1" applyFill="1" applyBorder="1" applyAlignment="1">
      <alignment horizontal="left" vertical="top" wrapText="1"/>
    </xf>
    <xf numFmtId="0" fontId="6" fillId="0" borderId="0" xfId="0" applyFont="1" applyFill="1" applyBorder="1" applyAlignment="1">
      <alignment horizontal="left" vertical="center" wrapText="1"/>
    </xf>
    <xf numFmtId="0" fontId="7" fillId="0" borderId="0" xfId="9" applyFill="1" applyBorder="1" applyAlignment="1">
      <alignment vertical="center" wrapText="1"/>
    </xf>
    <xf numFmtId="3" fontId="6" fillId="0" borderId="0" xfId="0" applyNumberFormat="1" applyFont="1" applyFill="1" applyBorder="1" applyAlignment="1">
      <alignment horizontal="center" vertical="top"/>
    </xf>
    <xf numFmtId="0" fontId="36" fillId="0" borderId="0" xfId="0" applyFont="1" applyFill="1" applyBorder="1" applyAlignment="1">
      <alignment vertical="center" wrapText="1"/>
    </xf>
    <xf numFmtId="0" fontId="6" fillId="0" borderId="0" xfId="9" applyFont="1" applyFill="1" applyBorder="1" applyAlignment="1">
      <alignment horizontal="center" vertical="center"/>
    </xf>
    <xf numFmtId="0" fontId="7" fillId="0" borderId="0" xfId="9" applyFill="1" applyBorder="1" applyAlignment="1">
      <alignment horizontal="center" vertical="center" wrapText="1"/>
    </xf>
    <xf numFmtId="0" fontId="74" fillId="0" borderId="0" xfId="0" applyFont="1" applyFill="1" applyBorder="1" applyAlignment="1">
      <alignment vertical="center" wrapText="1"/>
    </xf>
    <xf numFmtId="14" fontId="36" fillId="0" borderId="0"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xf numFmtId="0" fontId="36" fillId="0" borderId="0" xfId="0" applyFont="1" applyFill="1" applyBorder="1" applyAlignment="1">
      <alignment vertical="top"/>
    </xf>
    <xf numFmtId="0" fontId="36" fillId="0" borderId="0" xfId="0" applyFont="1" applyFill="1" applyBorder="1" applyAlignment="1">
      <alignment wrapText="1"/>
    </xf>
    <xf numFmtId="0" fontId="36" fillId="0" borderId="0" xfId="0"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3" fontId="36" fillId="0" borderId="15" xfId="0" applyNumberFormat="1" applyFont="1" applyFill="1" applyBorder="1" applyAlignment="1">
      <alignment horizontal="left" vertical="center" wrapText="1"/>
    </xf>
    <xf numFmtId="14" fontId="36" fillId="0" borderId="0" xfId="0" applyNumberFormat="1" applyFont="1" applyFill="1" applyBorder="1" applyAlignment="1">
      <alignment horizontal="center" vertical="center" wrapText="1"/>
    </xf>
    <xf numFmtId="3" fontId="36" fillId="0" borderId="17" xfId="0" applyNumberFormat="1" applyFont="1" applyFill="1" applyBorder="1" applyAlignment="1">
      <alignment horizontal="left" vertical="center" wrapText="1"/>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12" fillId="3" borderId="0" xfId="4" applyFont="1" applyFill="1" applyAlignment="1">
      <alignment horizontal="left" vertical="top" wrapText="1"/>
    </xf>
    <xf numFmtId="0" fontId="22" fillId="4"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31" fillId="0" borderId="0" xfId="0" applyFont="1" applyAlignment="1">
      <alignment horizontal="center" vertical="center" wrapText="1"/>
    </xf>
    <xf numFmtId="0" fontId="30" fillId="0" borderId="0" xfId="0" applyFont="1" applyAlignment="1">
      <alignment horizontal="center" vertical="center" wrapText="1"/>
    </xf>
    <xf numFmtId="0" fontId="19" fillId="0" borderId="0" xfId="0" applyFont="1" applyAlignment="1">
      <alignment horizontal="center" vertical="center" wrapText="1"/>
    </xf>
    <xf numFmtId="0" fontId="25" fillId="0" borderId="0" xfId="0" applyFont="1" applyAlignment="1">
      <alignment horizontal="center" vertical="center" wrapText="1"/>
    </xf>
    <xf numFmtId="0" fontId="29" fillId="4" borderId="0" xfId="0" applyFont="1" applyFill="1" applyAlignment="1">
      <alignment horizontal="left" vertical="center" wrapText="1"/>
    </xf>
    <xf numFmtId="0" fontId="23" fillId="0" borderId="0" xfId="1" applyFont="1" applyAlignment="1">
      <alignment horizontal="left" vertical="center"/>
    </xf>
    <xf numFmtId="0" fontId="18" fillId="0" borderId="0" xfId="0" applyFont="1" applyFill="1" applyBorder="1" applyAlignment="1">
      <alignment wrapText="1"/>
    </xf>
    <xf numFmtId="0" fontId="28" fillId="0" borderId="0" xfId="0" applyFont="1" applyFill="1" applyBorder="1" applyAlignment="1">
      <alignment wrapText="1"/>
    </xf>
    <xf numFmtId="0" fontId="35" fillId="0" borderId="0" xfId="0" applyFont="1" applyFill="1" applyBorder="1" applyAlignment="1">
      <alignment horizontal="left" vertical="top" wrapText="1"/>
    </xf>
    <xf numFmtId="0" fontId="24" fillId="0" borderId="0" xfId="0" applyFont="1" applyFill="1" applyBorder="1" applyAlignment="1">
      <alignment wrapText="1"/>
    </xf>
    <xf numFmtId="0" fontId="22" fillId="4" borderId="0" xfId="0" applyFont="1" applyFill="1" applyBorder="1" applyAlignment="1">
      <alignment vertical="top" wrapText="1"/>
    </xf>
    <xf numFmtId="0" fontId="22" fillId="0" borderId="0" xfId="0" applyFont="1" applyFill="1" applyBorder="1" applyAlignment="1">
      <alignment horizontal="left" vertical="top" wrapText="1"/>
    </xf>
    <xf numFmtId="0" fontId="21" fillId="0" borderId="0" xfId="0" applyFont="1" applyAlignment="1">
      <alignment horizontal="left" vertical="top" wrapText="1"/>
    </xf>
    <xf numFmtId="0" fontId="36" fillId="0" borderId="0" xfId="0" applyFont="1" applyFill="1" applyBorder="1" applyAlignment="1">
      <alignment horizontal="left" vertical="center"/>
    </xf>
    <xf numFmtId="14" fontId="36" fillId="0" borderId="0" xfId="0" applyNumberFormat="1" applyFont="1" applyFill="1" applyBorder="1" applyAlignment="1">
      <alignment horizontal="left" vertical="center"/>
    </xf>
    <xf numFmtId="0" fontId="36" fillId="0" borderId="0" xfId="0" applyFont="1" applyFill="1" applyBorder="1" applyAlignment="1">
      <alignment horizontal="left" vertical="top" wrapText="1"/>
    </xf>
    <xf numFmtId="3" fontId="36" fillId="0" borderId="0" xfId="0" applyNumberFormat="1" applyFont="1" applyFill="1" applyBorder="1" applyAlignment="1">
      <alignment horizontal="left" vertical="center"/>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center" vertical="center"/>
    </xf>
    <xf numFmtId="0" fontId="7" fillId="0" borderId="0" xfId="9" applyFill="1" applyBorder="1" applyAlignment="1">
      <alignment horizontal="left" vertical="top" wrapText="1"/>
    </xf>
    <xf numFmtId="0" fontId="7" fillId="0" borderId="0" xfId="9" applyFont="1" applyFill="1" applyBorder="1" applyAlignment="1">
      <alignment horizontal="left" vertical="top" wrapText="1"/>
    </xf>
    <xf numFmtId="0" fontId="36" fillId="0" borderId="0" xfId="0" applyFont="1" applyFill="1" applyBorder="1" applyAlignment="1">
      <alignment wrapText="1"/>
    </xf>
    <xf numFmtId="0" fontId="36" fillId="0" borderId="0" xfId="0" applyFont="1" applyFill="1" applyBorder="1" applyAlignment="1">
      <alignment horizontal="center"/>
    </xf>
    <xf numFmtId="0" fontId="36" fillId="0" borderId="0" xfId="0" applyFont="1" applyFill="1" applyBorder="1" applyAlignment="1"/>
    <xf numFmtId="0" fontId="36" fillId="0" borderId="0" xfId="0" applyFont="1" applyFill="1" applyBorder="1" applyAlignment="1">
      <alignment vertical="top" wrapText="1"/>
    </xf>
    <xf numFmtId="0" fontId="39"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0" xfId="0" applyFont="1" applyFill="1" applyBorder="1" applyAlignment="1">
      <alignment vertical="top"/>
    </xf>
    <xf numFmtId="0" fontId="44" fillId="0" borderId="0" xfId="0" applyFont="1" applyFill="1" applyBorder="1" applyAlignment="1">
      <alignment vertical="top" wrapText="1"/>
    </xf>
    <xf numFmtId="3" fontId="44" fillId="0" borderId="0" xfId="0" applyNumberFormat="1" applyFont="1" applyFill="1" applyBorder="1" applyAlignment="1">
      <alignment horizontal="left" vertical="center"/>
    </xf>
    <xf numFmtId="3" fontId="6" fillId="0" borderId="0" xfId="0" applyNumberFormat="1" applyFont="1" applyFill="1" applyBorder="1" applyAlignment="1">
      <alignment horizontal="center" vertical="center"/>
    </xf>
    <xf numFmtId="14" fontId="0" fillId="0" borderId="0" xfId="0" applyNumberFormat="1" applyFill="1" applyBorder="1" applyAlignment="1">
      <alignment horizontal="left" vertical="center" wrapText="1"/>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3"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3" fontId="3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3" fontId="0" fillId="0" borderId="0" xfId="0" applyNumberFormat="1" applyFill="1" applyBorder="1" applyAlignment="1">
      <alignment horizontal="left" vertical="center" wrapText="1"/>
    </xf>
    <xf numFmtId="14" fontId="36"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6" fillId="0" borderId="0" xfId="0" applyFont="1" applyFill="1" applyBorder="1" applyAlignment="1">
      <alignment horizontal="left" vertical="top" wrapText="1"/>
    </xf>
    <xf numFmtId="0" fontId="7" fillId="0" borderId="0" xfId="9" applyFill="1" applyBorder="1" applyAlignment="1">
      <alignment horizontal="left" vertical="center" wrapText="1"/>
    </xf>
    <xf numFmtId="0" fontId="0" fillId="0" borderId="0" xfId="0" applyFont="1" applyFill="1" applyBorder="1" applyAlignment="1">
      <alignment horizontal="left" vertical="top" wrapText="1"/>
    </xf>
    <xf numFmtId="3" fontId="0" fillId="0" borderId="0" xfId="0" applyNumberFormat="1" applyFill="1" applyBorder="1" applyAlignment="1">
      <alignment horizontal="center" vertical="center" wrapText="1"/>
    </xf>
    <xf numFmtId="3" fontId="0" fillId="0" borderId="0" xfId="0" applyNumberFormat="1" applyFill="1" applyBorder="1" applyAlignment="1">
      <alignment horizontal="center" vertical="center"/>
    </xf>
    <xf numFmtId="3" fontId="6"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3" fontId="6" fillId="0" borderId="0" xfId="0" applyNumberFormat="1" applyFont="1" applyFill="1" applyBorder="1" applyAlignment="1">
      <alignment horizontal="left" vertical="center" wrapText="1"/>
    </xf>
    <xf numFmtId="0" fontId="0" fillId="0" borderId="0" xfId="0" applyFill="1" applyBorder="1" applyAlignment="1">
      <alignment horizontal="left" vertical="top" wrapText="1"/>
    </xf>
    <xf numFmtId="3"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top"/>
    </xf>
    <xf numFmtId="3" fontId="0" fillId="0" borderId="0" xfId="0" applyNumberFormat="1" applyFill="1" applyBorder="1" applyAlignment="1">
      <alignment horizontal="center" vertical="top"/>
    </xf>
    <xf numFmtId="0" fontId="74"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7" fillId="0" borderId="0" xfId="9" applyFill="1" applyBorder="1" applyAlignment="1">
      <alignment horizontal="center" vertical="top" wrapText="1"/>
    </xf>
    <xf numFmtId="3" fontId="6" fillId="0" borderId="0" xfId="0" applyNumberFormat="1" applyFont="1" applyFill="1" applyBorder="1" applyAlignment="1">
      <alignment horizontal="center" vertical="top"/>
    </xf>
    <xf numFmtId="3" fontId="7" fillId="0" borderId="0" xfId="9" applyNumberFormat="1" applyFill="1" applyBorder="1" applyAlignment="1">
      <alignment horizontal="center" vertical="top" wrapText="1"/>
    </xf>
    <xf numFmtId="0" fontId="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6" fillId="0" borderId="0" xfId="9" applyFont="1" applyFill="1" applyBorder="1" applyAlignment="1">
      <alignment horizontal="center" vertical="center"/>
    </xf>
    <xf numFmtId="0" fontId="7" fillId="0" borderId="0" xfId="9" applyFill="1" applyBorder="1" applyAlignment="1">
      <alignment vertical="center" wrapText="1"/>
    </xf>
    <xf numFmtId="0" fontId="7" fillId="0" borderId="0" xfId="9" applyFont="1" applyFill="1" applyBorder="1" applyAlignment="1">
      <alignment vertical="center" wrapText="1"/>
    </xf>
    <xf numFmtId="0" fontId="10" fillId="0" borderId="0" xfId="9" applyFont="1" applyFill="1" applyBorder="1" applyAlignment="1">
      <alignment horizontal="left" vertical="center" wrapText="1"/>
    </xf>
    <xf numFmtId="14" fontId="0" fillId="0" borderId="0" xfId="0" applyNumberFormat="1" applyFont="1" applyFill="1" applyBorder="1" applyAlignment="1">
      <alignment horizontal="left" vertical="center"/>
    </xf>
    <xf numFmtId="0" fontId="0" fillId="0" borderId="0" xfId="0" applyFill="1" applyBorder="1" applyAlignment="1">
      <alignment horizontal="center" vertical="top"/>
    </xf>
    <xf numFmtId="3" fontId="7" fillId="0" borderId="0" xfId="9" applyNumberFormat="1" applyFill="1" applyBorder="1" applyAlignment="1">
      <alignment horizontal="left" vertical="top"/>
    </xf>
    <xf numFmtId="0" fontId="7" fillId="0" borderId="0" xfId="9" applyFill="1" applyBorder="1" applyAlignment="1">
      <alignment horizontal="center" vertical="center" wrapText="1"/>
    </xf>
    <xf numFmtId="0" fontId="7" fillId="0" borderId="0" xfId="9" applyFont="1" applyFill="1" applyBorder="1" applyAlignment="1">
      <alignment horizontal="center" vertical="center" wrapText="1"/>
    </xf>
    <xf numFmtId="0" fontId="6" fillId="0" borderId="0" xfId="0" applyFont="1" applyFill="1" applyBorder="1" applyAlignment="1">
      <alignment horizontal="left" vertical="top"/>
    </xf>
    <xf numFmtId="0" fontId="39" fillId="0" borderId="0" xfId="0" applyFont="1" applyFill="1" applyBorder="1" applyAlignment="1">
      <alignment horizontal="center" wrapText="1"/>
    </xf>
    <xf numFmtId="0" fontId="7" fillId="0" borderId="0" xfId="9" applyFill="1" applyBorder="1" applyAlignment="1">
      <alignment wrapText="1"/>
    </xf>
    <xf numFmtId="0" fontId="7" fillId="0" borderId="0" xfId="9" applyFont="1" applyFill="1" applyBorder="1" applyAlignment="1">
      <alignment wrapText="1"/>
    </xf>
    <xf numFmtId="4" fontId="6" fillId="0" borderId="0" xfId="0" applyNumberFormat="1" applyFont="1" applyFill="1" applyBorder="1" applyAlignment="1">
      <alignment horizontal="center" vertical="center"/>
    </xf>
    <xf numFmtId="3" fontId="0"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14"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9" applyFont="1" applyFill="1" applyBorder="1" applyAlignment="1">
      <alignment horizontal="left" vertical="top" wrapText="1"/>
    </xf>
    <xf numFmtId="3" fontId="0" fillId="0" borderId="0" xfId="0" applyNumberFormat="1" applyFont="1" applyFill="1" applyBorder="1" applyAlignment="1">
      <alignment horizontal="left" vertical="top"/>
    </xf>
    <xf numFmtId="3" fontId="7" fillId="0" borderId="0" xfId="9" applyNumberFormat="1" applyFill="1" applyBorder="1" applyAlignment="1">
      <alignment horizontal="left" vertical="top" wrapText="1"/>
    </xf>
    <xf numFmtId="0" fontId="7" fillId="0" borderId="0" xfId="9" applyFill="1" applyBorder="1" applyAlignment="1">
      <alignment vertical="top" wrapText="1"/>
    </xf>
    <xf numFmtId="0" fontId="7" fillId="0" borderId="0" xfId="9" applyFill="1" applyBorder="1" applyAlignment="1">
      <alignment horizontal="left" vertical="center"/>
    </xf>
    <xf numFmtId="0" fontId="36" fillId="0" borderId="0" xfId="0" applyFont="1" applyFill="1" applyBorder="1" applyAlignment="1">
      <alignment horizontal="left" vertical="top"/>
    </xf>
    <xf numFmtId="0" fontId="74" fillId="0" borderId="0" xfId="0" applyFont="1" applyFill="1" applyBorder="1" applyAlignment="1">
      <alignment horizontal="left" vertical="top" wrapText="1"/>
    </xf>
    <xf numFmtId="1" fontId="0" fillId="0" borderId="0" xfId="0" applyNumberFormat="1" applyFill="1" applyBorder="1" applyAlignment="1">
      <alignment horizontal="left" vertical="center"/>
    </xf>
    <xf numFmtId="0" fontId="0" fillId="0" borderId="0" xfId="9" applyFont="1" applyFill="1" applyBorder="1" applyAlignment="1">
      <alignment horizontal="left" vertical="top" wrapText="1"/>
    </xf>
    <xf numFmtId="3" fontId="0"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center"/>
    </xf>
    <xf numFmtId="14" fontId="7" fillId="0" borderId="0" xfId="9" applyNumberFormat="1" applyFill="1" applyBorder="1" applyAlignment="1">
      <alignment horizontal="left" vertical="top" wrapText="1"/>
    </xf>
    <xf numFmtId="0" fontId="6" fillId="0" borderId="0" xfId="9" applyFont="1" applyFill="1" applyBorder="1" applyAlignment="1">
      <alignment horizontal="center" vertical="center" wrapText="1"/>
    </xf>
    <xf numFmtId="0" fontId="0" fillId="0" borderId="0" xfId="0" applyFill="1" applyBorder="1" applyAlignment="1">
      <alignment horizontal="left" vertical="top"/>
    </xf>
    <xf numFmtId="3" fontId="36" fillId="0" borderId="0" xfId="0" applyNumberFormat="1" applyFont="1" applyFill="1" applyBorder="1" applyAlignment="1">
      <alignment horizontal="left"/>
    </xf>
    <xf numFmtId="3" fontId="14" fillId="0" borderId="0" xfId="0" applyNumberFormat="1" applyFont="1" applyFill="1" applyBorder="1" applyAlignment="1">
      <alignment horizontal="left"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top" wrapText="1"/>
    </xf>
    <xf numFmtId="3" fontId="36" fillId="0" borderId="0" xfId="0" applyNumberFormat="1" applyFont="1" applyFill="1" applyBorder="1" applyAlignment="1">
      <alignment horizontal="left" wrapText="1"/>
    </xf>
    <xf numFmtId="0" fontId="0" fillId="0" borderId="9" xfId="0" applyFill="1" applyBorder="1" applyAlignment="1">
      <alignment horizontal="center" vertical="center"/>
    </xf>
    <xf numFmtId="0" fontId="6" fillId="0" borderId="0" xfId="0" applyFont="1" applyFill="1" applyBorder="1" applyAlignment="1">
      <alignment horizontal="center" vertical="top" wrapText="1"/>
    </xf>
    <xf numFmtId="0" fontId="7" fillId="0" borderId="0" xfId="9" applyFill="1" applyBorder="1" applyAlignment="1">
      <alignment horizontal="center" wrapText="1"/>
    </xf>
    <xf numFmtId="0" fontId="7" fillId="0" borderId="0" xfId="9" applyFont="1" applyFill="1" applyBorder="1" applyAlignment="1">
      <alignment horizontal="center" wrapText="1"/>
    </xf>
    <xf numFmtId="0" fontId="7" fillId="0" borderId="0" xfId="9" applyFont="1" applyFill="1" applyBorder="1" applyAlignment="1">
      <alignment horizontal="center" vertical="top" wrapText="1"/>
    </xf>
    <xf numFmtId="0" fontId="36" fillId="0" borderId="0" xfId="0" applyFont="1" applyFill="1" applyBorder="1" applyAlignment="1">
      <alignment horizontal="center" vertical="top" wrapText="1"/>
    </xf>
    <xf numFmtId="3" fontId="7" fillId="0" borderId="0" xfId="9" applyNumberFormat="1" applyFill="1" applyBorder="1" applyAlignment="1">
      <alignment horizontal="center" vertical="center"/>
    </xf>
    <xf numFmtId="3" fontId="36" fillId="0" borderId="13" xfId="0" applyNumberFormat="1" applyFont="1" applyFill="1" applyBorder="1" applyAlignment="1">
      <alignment horizontal="left" vertical="center" wrapText="1"/>
    </xf>
    <xf numFmtId="3" fontId="36" fillId="0" borderId="14" xfId="0" applyNumberFormat="1" applyFont="1" applyFill="1" applyBorder="1" applyAlignment="1">
      <alignment horizontal="left" vertical="center" wrapText="1"/>
    </xf>
    <xf numFmtId="3" fontId="36" fillId="0" borderId="15" xfId="0" applyNumberFormat="1" applyFont="1" applyFill="1" applyBorder="1" applyAlignment="1">
      <alignment horizontal="left" vertical="center" wrapText="1"/>
    </xf>
    <xf numFmtId="3" fontId="36" fillId="5" borderId="13" xfId="0" applyNumberFormat="1" applyFont="1" applyFill="1" applyBorder="1" applyAlignment="1">
      <alignment horizontal="left" vertical="center" wrapText="1"/>
    </xf>
    <xf numFmtId="3" fontId="36" fillId="5" borderId="14" xfId="0" applyNumberFormat="1" applyFont="1" applyFill="1" applyBorder="1" applyAlignment="1">
      <alignment horizontal="left" vertical="center" wrapText="1"/>
    </xf>
    <xf numFmtId="3" fontId="36" fillId="5" borderId="15" xfId="0" applyNumberFormat="1" applyFont="1" applyFill="1" applyBorder="1" applyAlignment="1">
      <alignment horizontal="left" vertical="center" wrapText="1"/>
    </xf>
    <xf numFmtId="3" fontId="36" fillId="0" borderId="13" xfId="0" applyNumberFormat="1" applyFont="1" applyFill="1" applyBorder="1" applyAlignment="1">
      <alignment horizontal="center" vertical="center" wrapText="1"/>
    </xf>
    <xf numFmtId="3" fontId="36" fillId="0" borderId="14" xfId="0" applyNumberFormat="1" applyFont="1" applyFill="1" applyBorder="1" applyAlignment="1">
      <alignment horizontal="center" vertical="center" wrapText="1"/>
    </xf>
    <xf numFmtId="3" fontId="36" fillId="0" borderId="15" xfId="0" applyNumberFormat="1" applyFont="1" applyFill="1" applyBorder="1" applyAlignment="1">
      <alignment horizontal="center" vertical="center" wrapText="1"/>
    </xf>
    <xf numFmtId="0" fontId="36" fillId="0" borderId="9" xfId="0" applyFont="1" applyFill="1" applyBorder="1" applyAlignment="1">
      <alignment horizontal="left" vertical="top" wrapText="1"/>
    </xf>
    <xf numFmtId="0" fontId="7" fillId="0" borderId="20" xfId="9" applyFill="1" applyBorder="1" applyAlignment="1">
      <alignment horizontal="left" vertical="top" wrapText="1"/>
    </xf>
    <xf numFmtId="0" fontId="36" fillId="0" borderId="21"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36" fillId="5" borderId="22"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36" fillId="0" borderId="20" xfId="0" applyFont="1" applyFill="1" applyBorder="1" applyAlignment="1">
      <alignment horizontal="center" vertical="center" wrapText="1"/>
    </xf>
    <xf numFmtId="14" fontId="36" fillId="0" borderId="0" xfId="0" applyNumberFormat="1" applyFont="1" applyFill="1" applyBorder="1" applyAlignment="1">
      <alignment horizontal="center" vertical="center" wrapText="1"/>
    </xf>
    <xf numFmtId="14" fontId="36" fillId="0" borderId="20" xfId="0" applyNumberFormat="1" applyFont="1" applyFill="1" applyBorder="1" applyAlignment="1">
      <alignment horizontal="center" vertical="center" wrapText="1"/>
    </xf>
    <xf numFmtId="0" fontId="36" fillId="0" borderId="20" xfId="0" applyFont="1" applyFill="1" applyBorder="1" applyAlignment="1">
      <alignment horizontal="left" vertical="top" wrapText="1"/>
    </xf>
    <xf numFmtId="3" fontId="36" fillId="0" borderId="18" xfId="0" applyNumberFormat="1" applyFont="1" applyFill="1" applyBorder="1" applyAlignment="1">
      <alignment horizontal="left" vertical="center" wrapText="1"/>
    </xf>
    <xf numFmtId="3" fontId="36" fillId="0" borderId="17" xfId="0" applyNumberFormat="1" applyFont="1" applyFill="1" applyBorder="1" applyAlignment="1">
      <alignment horizontal="left" vertical="center" wrapText="1"/>
    </xf>
    <xf numFmtId="3" fontId="36" fillId="4" borderId="13" xfId="0" applyNumberFormat="1" applyFont="1" applyFill="1" applyBorder="1" applyAlignment="1">
      <alignment horizontal="left" vertical="center" wrapText="1"/>
    </xf>
    <xf numFmtId="3" fontId="36" fillId="4" borderId="14" xfId="0" applyNumberFormat="1" applyFont="1" applyFill="1" applyBorder="1" applyAlignment="1">
      <alignment horizontal="left" vertical="center" wrapText="1"/>
    </xf>
    <xf numFmtId="3" fontId="36" fillId="4" borderId="15" xfId="0" applyNumberFormat="1" applyFont="1" applyFill="1" applyBorder="1" applyAlignment="1">
      <alignment horizontal="left" vertical="center" wrapText="1"/>
    </xf>
    <xf numFmtId="3" fontId="36" fillId="0" borderId="20" xfId="0" applyNumberFormat="1" applyFont="1" applyFill="1" applyBorder="1" applyAlignment="1">
      <alignment horizontal="left" vertical="center" wrapText="1"/>
    </xf>
    <xf numFmtId="0" fontId="36" fillId="0" borderId="20" xfId="0" applyFont="1" applyFill="1" applyBorder="1" applyAlignment="1">
      <alignment horizontal="left" vertical="center" wrapText="1"/>
    </xf>
    <xf numFmtId="14" fontId="36" fillId="0" borderId="19" xfId="0" applyNumberFormat="1" applyFont="1" applyFill="1" applyBorder="1" applyAlignment="1">
      <alignment horizontal="center" vertical="center" wrapText="1"/>
    </xf>
    <xf numFmtId="14" fontId="36" fillId="0" borderId="18" xfId="0" applyNumberFormat="1"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0" fontId="7" fillId="0" borderId="30" xfId="9" applyFill="1" applyBorder="1" applyAlignment="1">
      <alignment vertical="center"/>
    </xf>
    <xf numFmtId="0" fontId="7" fillId="0" borderId="31" xfId="9" applyFont="1" applyFill="1" applyBorder="1" applyAlignment="1">
      <alignment vertical="center"/>
    </xf>
    <xf numFmtId="0" fontId="7" fillId="0" borderId="32" xfId="9" applyFont="1" applyFill="1" applyBorder="1" applyAlignment="1">
      <alignment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30" xfId="0" applyFont="1" applyFill="1" applyBorder="1" applyAlignment="1">
      <alignment vertical="center"/>
    </xf>
    <xf numFmtId="0" fontId="36" fillId="0" borderId="31" xfId="0" applyFont="1" applyFill="1" applyBorder="1" applyAlignment="1">
      <alignment vertical="center"/>
    </xf>
    <xf numFmtId="0" fontId="36" fillId="0" borderId="32" xfId="0" applyFont="1" applyFill="1" applyBorder="1" applyAlignment="1">
      <alignment vertical="center"/>
    </xf>
    <xf numFmtId="14" fontId="36" fillId="0" borderId="30" xfId="0" applyNumberFormat="1" applyFont="1" applyFill="1" applyBorder="1" applyAlignment="1">
      <alignment horizontal="left" vertical="center"/>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7" fillId="0" borderId="30" xfId="9" applyFill="1" applyBorder="1" applyAlignment="1">
      <alignment vertical="center" wrapText="1"/>
    </xf>
    <xf numFmtId="0" fontId="7" fillId="0" borderId="31" xfId="9" applyFont="1" applyFill="1" applyBorder="1" applyAlignment="1">
      <alignment vertical="center" wrapText="1"/>
    </xf>
    <xf numFmtId="0" fontId="7" fillId="0" borderId="32" xfId="9" applyFont="1" applyFill="1" applyBorder="1" applyAlignment="1">
      <alignment vertical="center" wrapText="1"/>
    </xf>
    <xf numFmtId="0" fontId="36" fillId="0" borderId="30" xfId="0" applyFont="1" applyFill="1" applyBorder="1" applyAlignment="1">
      <alignment vertical="center" wrapText="1"/>
    </xf>
    <xf numFmtId="0" fontId="36" fillId="0" borderId="31" xfId="0" applyFont="1" applyFill="1" applyBorder="1" applyAlignment="1">
      <alignment vertical="center" wrapText="1"/>
    </xf>
    <xf numFmtId="0" fontId="36" fillId="0" borderId="32" xfId="0" applyFont="1" applyFill="1" applyBorder="1" applyAlignment="1">
      <alignment vertical="center" wrapText="1"/>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56" fillId="2" borderId="0" xfId="2" applyFont="1" applyFill="1" applyAlignment="1">
      <alignment horizontal="left" wrapText="1"/>
    </xf>
    <xf numFmtId="0" fontId="12" fillId="2" borderId="0" xfId="4" applyFont="1" applyFill="1" applyAlignment="1">
      <alignment horizontal="left" vertical="top" wrapText="1"/>
    </xf>
    <xf numFmtId="0" fontId="12" fillId="3" borderId="0" xfId="2" applyFont="1" applyFill="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64" fillId="0" borderId="0" xfId="0" applyFont="1" applyAlignment="1">
      <alignment horizontal="left" vertical="top" wrapText="1"/>
    </xf>
    <xf numFmtId="0" fontId="12" fillId="2" borderId="0" xfId="2" applyFont="1" applyFill="1" applyAlignment="1">
      <alignment horizontal="center"/>
    </xf>
    <xf numFmtId="0" fontId="12" fillId="2" borderId="0" xfId="2" applyFont="1" applyFill="1" applyAlignment="1">
      <alignment horizontal="left" wrapText="1"/>
    </xf>
    <xf numFmtId="0" fontId="12" fillId="3" borderId="0" xfId="4" applyFont="1" applyFill="1" applyAlignment="1">
      <alignment horizontal="left" vertical="top" wrapText="1"/>
    </xf>
    <xf numFmtId="0" fontId="75" fillId="3" borderId="0" xfId="4" applyFont="1" applyFill="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9" applyFill="1" applyBorder="1" applyAlignment="1">
      <alignment horizontal="left" wrapText="1"/>
    </xf>
    <xf numFmtId="0" fontId="74" fillId="4" borderId="0" xfId="0" applyFont="1" applyFill="1" applyBorder="1" applyAlignment="1">
      <alignment horizontal="left" vertical="top" wrapText="1"/>
    </xf>
    <xf numFmtId="0" fontId="41" fillId="4" borderId="0" xfId="0" applyFont="1" applyFill="1" applyBorder="1" applyAlignment="1">
      <alignment horizontal="left" vertical="center"/>
    </xf>
    <xf numFmtId="0" fontId="11" fillId="3" borderId="0" xfId="4" applyFont="1" applyFill="1" applyAlignment="1">
      <alignment horizontal="left" vertical="top" wrapText="1"/>
    </xf>
    <xf numFmtId="0" fontId="11" fillId="3" borderId="0" xfId="4" applyFont="1" applyFill="1" applyAlignment="1">
      <alignment horizontal="left" vertical="top"/>
    </xf>
    <xf numFmtId="0" fontId="10" fillId="2" borderId="0" xfId="0" applyFont="1" applyFill="1" applyAlignment="1">
      <alignment horizontal="left" vertical="top" wrapText="1"/>
    </xf>
    <xf numFmtId="0" fontId="12" fillId="2" borderId="0" xfId="2" applyFont="1" applyFill="1" applyAlignment="1">
      <alignment horizontal="left" vertical="top" wrapText="1"/>
    </xf>
    <xf numFmtId="0" fontId="71" fillId="2" borderId="0" xfId="8" applyFont="1" applyFill="1" applyAlignment="1">
      <alignment horizontal="left" wrapText="1"/>
    </xf>
    <xf numFmtId="0" fontId="79" fillId="4" borderId="0" xfId="0" applyFont="1" applyFill="1" applyBorder="1" applyAlignment="1"/>
  </cellXfs>
  <cellStyles count="10">
    <cellStyle name="Hyperlink" xfId="9" xr:uid="{00000000-0005-0000-0000-000000000000}"/>
    <cellStyle name="Hyperlink 2" xfId="7" xr:uid="{00000000-0005-0000-0000-000001000000}"/>
    <cellStyle name="Normal" xfId="0" builtinId="0"/>
    <cellStyle name="Normal 2" xfId="2" xr:uid="{00000000-0005-0000-0000-000002000000}"/>
    <cellStyle name="Normal 2 2" xfId="4" xr:uid="{00000000-0005-0000-0000-000003000000}"/>
    <cellStyle name="Normal 2 3" xfId="8" xr:uid="{00000000-0005-0000-0000-000004000000}"/>
    <cellStyle name="Normal 3" xfId="5" xr:uid="{00000000-0005-0000-0000-000005000000}"/>
    <cellStyle name="Normal 4" xfId="6" xr:uid="{00000000-0005-0000-0000-000006000000}"/>
    <cellStyle name="Standard 2 2" xfId="1" xr:uid="{00000000-0005-0000-0000-000008000000}"/>
    <cellStyle name="Standard 2 2 2" xfId="3" xr:uid="{00000000-0005-0000-0000-000009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1870678819247"/>
          <c:y val="2.3803600126414605E-4"/>
          <c:w val="0.67921664153225758"/>
          <c:h val="0.91344901164828285"/>
        </c:manualLayout>
      </c:layout>
      <c:barChart>
        <c:barDir val="bar"/>
        <c:grouping val="stacked"/>
        <c:varyColors val="0"/>
        <c:ser>
          <c:idx val="1"/>
          <c:order val="1"/>
          <c:tx>
            <c:strRef>
              <c:f>'Figure 1 Western Countries'!$D$7</c:f>
              <c:strCache>
                <c:ptCount val="1"/>
                <c:pt idx="0">
                  <c:v>1st release (commitments from Febr. 24 to March 27)</c:v>
                </c:pt>
              </c:strCache>
            </c:strRef>
          </c:tx>
          <c:spPr>
            <a:solidFill>
              <a:schemeClr val="accent1">
                <a:lumMod val="20000"/>
                <a:lumOff val="80000"/>
              </a:schemeClr>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Countries'!$D$8:$D$10</c:f>
              <c:numCache>
                <c:formatCode>General</c:formatCode>
                <c:ptCount val="3"/>
                <c:pt idx="0">
                  <c:v>7.600527177</c:v>
                </c:pt>
                <c:pt idx="1">
                  <c:v>6.328027005</c:v>
                </c:pt>
                <c:pt idx="2">
                  <c:v>0.99083786200000001</c:v>
                </c:pt>
              </c:numCache>
            </c:numRef>
          </c:val>
          <c:extLst>
            <c:ext xmlns:c16="http://schemas.microsoft.com/office/drawing/2014/chart" uri="{C3380CC4-5D6E-409C-BE32-E72D297353CC}">
              <c16:uniqueId val="{00000000-49DE-4EFC-A5B6-B42D80B04A67}"/>
            </c:ext>
          </c:extLst>
        </c:ser>
        <c:ser>
          <c:idx val="2"/>
          <c:order val="2"/>
          <c:tx>
            <c:strRef>
              <c:f>'Figure 1 Western Countries'!$E$7</c:f>
              <c:strCache>
                <c:ptCount val="1"/>
                <c:pt idx="0">
                  <c:v>2nd release (commitments from March 28 to April 23 and Jan. 24 to Febr. 23)</c:v>
                </c:pt>
              </c:strCache>
            </c:strRef>
          </c:tx>
          <c:spPr>
            <a:solidFill>
              <a:schemeClr val="accent1">
                <a:lumMod val="40000"/>
                <a:lumOff val="60000"/>
              </a:schemeClr>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Countries'!$E$8:$E$10</c:f>
              <c:numCache>
                <c:formatCode>General</c:formatCode>
                <c:ptCount val="3"/>
                <c:pt idx="0">
                  <c:v>2.7137008013227693</c:v>
                </c:pt>
                <c:pt idx="1">
                  <c:v>6.4651223956697281</c:v>
                </c:pt>
                <c:pt idx="2">
                  <c:v>3.3287889627241345</c:v>
                </c:pt>
              </c:numCache>
            </c:numRef>
          </c:val>
          <c:extLst>
            <c:ext xmlns:c16="http://schemas.microsoft.com/office/drawing/2014/chart" uri="{C3380CC4-5D6E-409C-BE32-E72D297353CC}">
              <c16:uniqueId val="{00000001-49DE-4EFC-A5B6-B42D80B04A67}"/>
            </c:ext>
          </c:extLst>
        </c:ser>
        <c:ser>
          <c:idx val="3"/>
          <c:order val="3"/>
          <c:tx>
            <c:strRef>
              <c:f>'Figure 1 Western Countries'!$F$7</c:f>
              <c:strCache>
                <c:ptCount val="1"/>
                <c:pt idx="0">
                  <c:v>3rd release (commitments from April 24 to May 10)</c:v>
                </c:pt>
              </c:strCache>
            </c:strRef>
          </c:tx>
          <c:spPr>
            <a:solidFill>
              <a:schemeClr val="accent1">
                <a:lumMod val="60000"/>
                <a:lumOff val="4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Countries'!$F$8:$F$10</c:f>
              <c:numCache>
                <c:formatCode>General</c:formatCode>
                <c:ptCount val="3"/>
                <c:pt idx="0">
                  <c:v>32.634900479426364</c:v>
                </c:pt>
                <c:pt idx="1">
                  <c:v>3.1229477824977527</c:v>
                </c:pt>
                <c:pt idx="2">
                  <c:v>3.3811744202264995</c:v>
                </c:pt>
              </c:numCache>
            </c:numRef>
          </c:val>
          <c:extLst>
            <c:ext xmlns:c16="http://schemas.microsoft.com/office/drawing/2014/chart" uri="{C3380CC4-5D6E-409C-BE32-E72D297353CC}">
              <c16:uniqueId val="{00000002-49DE-4EFC-A5B6-B42D80B04A67}"/>
            </c:ext>
          </c:extLst>
        </c:ser>
        <c:ser>
          <c:idx val="4"/>
          <c:order val="4"/>
          <c:tx>
            <c:strRef>
              <c:f>'Figure 1 Western Countries'!$G$7</c:f>
              <c:strCache>
                <c:ptCount val="1"/>
                <c:pt idx="0">
                  <c:v>4th release (commitments from May 11 to June 7)</c:v>
                </c:pt>
              </c:strCache>
            </c:strRef>
          </c:tx>
          <c:spPr>
            <a:solidFill>
              <a:schemeClr val="tx2">
                <a:lumMod val="75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Countries'!$G$8:$G$10</c:f>
              <c:numCache>
                <c:formatCode>General</c:formatCode>
                <c:ptCount val="3"/>
                <c:pt idx="0">
                  <c:v>0</c:v>
                </c:pt>
                <c:pt idx="1">
                  <c:v>11.264998690000001</c:v>
                </c:pt>
                <c:pt idx="2">
                  <c:v>0.77460155100000005</c:v>
                </c:pt>
              </c:numCache>
            </c:numRef>
          </c:val>
          <c:extLst>
            <c:ext xmlns:c16="http://schemas.microsoft.com/office/drawing/2014/chart" uri="{C3380CC4-5D6E-409C-BE32-E72D297353CC}">
              <c16:uniqueId val="{00000000-6AE0-45D4-B3DC-29CD5E67D191}"/>
            </c:ext>
          </c:extLst>
        </c:ser>
        <c:ser>
          <c:idx val="5"/>
          <c:order val="5"/>
          <c:tx>
            <c:strRef>
              <c:f>'Figure 1 Western Countries'!$H$7</c:f>
              <c:strCache>
                <c:ptCount val="1"/>
                <c:pt idx="0">
                  <c:v>5th release (commitments from June 8 to July 1)</c:v>
                </c:pt>
              </c:strCache>
            </c:strRef>
          </c:tx>
          <c:spPr>
            <a:solidFill>
              <a:schemeClr val="tx2">
                <a:lumMod val="5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Countries'!$H$8:$H$10</c:f>
              <c:numCache>
                <c:formatCode>General</c:formatCode>
                <c:ptCount val="3"/>
                <c:pt idx="0">
                  <c:v>0</c:v>
                </c:pt>
                <c:pt idx="1">
                  <c:v>0.51803937114229903</c:v>
                </c:pt>
                <c:pt idx="2">
                  <c:v>1.948001380680803</c:v>
                </c:pt>
              </c:numCache>
            </c:numRef>
          </c:val>
          <c:extLst>
            <c:ext xmlns:c16="http://schemas.microsoft.com/office/drawing/2014/chart" uri="{C3380CC4-5D6E-409C-BE32-E72D297353CC}">
              <c16:uniqueId val="{00000000-6ADE-43EC-A141-F459CFB7EA74}"/>
            </c:ext>
          </c:extLst>
        </c:ser>
        <c:dLbls>
          <c:showLegendKey val="0"/>
          <c:showVal val="0"/>
          <c:showCatName val="0"/>
          <c:showSerName val="0"/>
          <c:showPercent val="0"/>
          <c:showBubbleSize val="0"/>
        </c:dLbls>
        <c:gapWidth val="105"/>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1 Western Countries'!$C$7</c15:sqref>
                        </c15:formulaRef>
                      </c:ext>
                    </c:extLst>
                    <c:strCache>
                      <c:ptCount val="1"/>
                      <c:pt idx="0">
                        <c:v>Total aid (€ billion)</c:v>
                      </c:pt>
                    </c:strCache>
                  </c:strRef>
                </c:tx>
                <c:spPr>
                  <a:solidFill>
                    <a:schemeClr val="accent5">
                      <a:lumMod val="75000"/>
                    </a:schemeClr>
                  </a:solidFill>
                  <a:ln>
                    <a:solidFill>
                      <a:schemeClr val="tx1"/>
                    </a:solidFill>
                  </a:ln>
                  <a:effectLst/>
                </c:spPr>
                <c:invertIfNegative val="0"/>
                <c:cat>
                  <c:strRef>
                    <c:extLst>
                      <c:ext uri="{02D57815-91ED-43cb-92C2-25804820EDAC}">
                        <c15:formulaRef>
                          <c15:sqref>'Figure 1 Western Countries'!$B$8:$B$10</c15:sqref>
                        </c15:formulaRef>
                      </c:ext>
                    </c:extLst>
                    <c:strCache>
                      <c:ptCount val="3"/>
                      <c:pt idx="0">
                        <c:v>United States</c:v>
                      </c:pt>
                      <c:pt idx="1">
                        <c:v>EU Countries + EU Institutions</c:v>
                      </c:pt>
                      <c:pt idx="2">
                        <c:v>Other donor countries*</c:v>
                      </c:pt>
                    </c:strCache>
                  </c:strRef>
                </c:cat>
                <c:val>
                  <c:numRef>
                    <c:extLst>
                      <c:ext uri="{02D57815-91ED-43cb-92C2-25804820EDAC}">
                        <c15:formulaRef>
                          <c15:sqref>'Figure 1 Western Countries'!$C$8:$C$10</c15:sqref>
                        </c15:formulaRef>
                      </c:ext>
                    </c:extLst>
                    <c:numCache>
                      <c:formatCode>General</c:formatCode>
                      <c:ptCount val="3"/>
                      <c:pt idx="0">
                        <c:v>42.614541118575751</c:v>
                      </c:pt>
                      <c:pt idx="1">
                        <c:v>27.69913524430978</c:v>
                      </c:pt>
                      <c:pt idx="2">
                        <c:v>10.423404176631436</c:v>
                      </c:pt>
                    </c:numCache>
                  </c:numRef>
                </c:val>
                <c:extLst>
                  <c:ext xmlns:c16="http://schemas.microsoft.com/office/drawing/2014/chart" uri="{C3380CC4-5D6E-409C-BE32-E72D297353CC}">
                    <c16:uniqueId val="{00000003-49DE-4EFC-A5B6-B42D80B04A67}"/>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majorUnit val="5"/>
      </c:valAx>
      <c:spPr>
        <a:noFill/>
        <a:ln>
          <a:noFill/>
        </a:ln>
        <a:effectLst/>
      </c:spPr>
    </c:plotArea>
    <c:legend>
      <c:legendPos val="r"/>
      <c:legendEntry>
        <c:idx val="0"/>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egendEntry>
        <c:idx val="1"/>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egendEntry>
        <c:idx val="2"/>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egendEntry>
        <c:idx val="3"/>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ayout>
        <c:manualLayout>
          <c:xMode val="edge"/>
          <c:yMode val="edge"/>
          <c:x val="0.60235382064711651"/>
          <c:y val="0.25381120821922537"/>
          <c:w val="0.36213880341623644"/>
          <c:h val="0.40422240002656856"/>
        </c:manualLayout>
      </c:layout>
      <c:overlay val="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0"/>
          <c:order val="0"/>
          <c:tx>
            <c:strRef>
              <c:f>'Figure 10 Aid Type+Refugees (€)'!$C$7</c:f>
              <c:strCache>
                <c:ptCount val="1"/>
                <c:pt idx="0">
                  <c:v>Financial</c:v>
                </c:pt>
              </c:strCache>
            </c:strRef>
          </c:tx>
          <c:spPr>
            <a:solidFill>
              <a:srgbClr val="0070C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f>'Figure 10 Aid Type+Refugees (€)'!$C$8:$C$27</c:f>
              <c:numCache>
                <c:formatCode>General</c:formatCode>
                <c:ptCount val="20"/>
                <c:pt idx="0">
                  <c:v>9.9488636363636367</c:v>
                </c:pt>
                <c:pt idx="1">
                  <c:v>2.0766498671650888</c:v>
                </c:pt>
                <c:pt idx="2">
                  <c:v>0.9534211711315429</c:v>
                </c:pt>
                <c:pt idx="3">
                  <c:v>1.1499999999999999</c:v>
                </c:pt>
                <c:pt idx="4">
                  <c:v>1.4407092722571113</c:v>
                </c:pt>
                <c:pt idx="5">
                  <c:v>1.8</c:v>
                </c:pt>
                <c:pt idx="6">
                  <c:v>0</c:v>
                </c:pt>
                <c:pt idx="7">
                  <c:v>0.31</c:v>
                </c:pt>
                <c:pt idx="8">
                  <c:v>0.56818181818181812</c:v>
                </c:pt>
                <c:pt idx="9">
                  <c:v>3.3980252618906609E-2</c:v>
                </c:pt>
                <c:pt idx="10">
                  <c:v>9.1348484848484846E-2</c:v>
                </c:pt>
                <c:pt idx="11">
                  <c:v>0.02</c:v>
                </c:pt>
                <c:pt idx="12">
                  <c:v>0</c:v>
                </c:pt>
                <c:pt idx="13">
                  <c:v>0.25</c:v>
                </c:pt>
                <c:pt idx="14">
                  <c:v>0</c:v>
                </c:pt>
                <c:pt idx="15">
                  <c:v>0</c:v>
                </c:pt>
                <c:pt idx="16">
                  <c:v>0.08</c:v>
                </c:pt>
                <c:pt idx="17">
                  <c:v>1.4999999999999999E-2</c:v>
                </c:pt>
                <c:pt idx="18">
                  <c:v>0</c:v>
                </c:pt>
                <c:pt idx="19">
                  <c:v>0</c:v>
                </c:pt>
              </c:numCache>
            </c:numRef>
          </c:val>
          <c:extLst>
            <c:ext xmlns:c16="http://schemas.microsoft.com/office/drawing/2014/chart" uri="{C3380CC4-5D6E-409C-BE32-E72D297353CC}">
              <c16:uniqueId val="{00000000-B7D5-41AA-83CC-9F02B8636453}"/>
            </c:ext>
          </c:extLst>
        </c:ser>
        <c:ser>
          <c:idx val="1"/>
          <c:order val="1"/>
          <c:tx>
            <c:strRef>
              <c:f>'Figure 10 Aid Type+Refugees (€)'!$D$7</c:f>
              <c:strCache>
                <c:ptCount val="1"/>
                <c:pt idx="0">
                  <c:v>Humanitarian</c:v>
                </c:pt>
              </c:strCache>
            </c:strRef>
          </c:tx>
          <c:spPr>
            <a:solidFill>
              <a:srgbClr val="92D05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f>'Figure 10 Aid Type+Refugees (€)'!$D$8:$D$27</c:f>
              <c:numCache>
                <c:formatCode>General</c:formatCode>
                <c:ptCount val="20"/>
                <c:pt idx="0">
                  <c:v>8.8836174242424235</c:v>
                </c:pt>
                <c:pt idx="1">
                  <c:v>0.37296906687801584</c:v>
                </c:pt>
                <c:pt idx="2">
                  <c:v>0.10284090909090909</c:v>
                </c:pt>
                <c:pt idx="3">
                  <c:v>0.75</c:v>
                </c:pt>
                <c:pt idx="4">
                  <c:v>0.25024011821204289</c:v>
                </c:pt>
                <c:pt idx="5">
                  <c:v>0.1194314393939394</c:v>
                </c:pt>
                <c:pt idx="6">
                  <c:v>0.10436510548631822</c:v>
                </c:pt>
                <c:pt idx="7">
                  <c:v>3.0707372159090907E-2</c:v>
                </c:pt>
                <c:pt idx="8">
                  <c:v>9.8446969696969686E-2</c:v>
                </c:pt>
                <c:pt idx="9">
                  <c:v>3.543654915971689E-2</c:v>
                </c:pt>
                <c:pt idx="10">
                  <c:v>8.4840029411210188E-2</c:v>
                </c:pt>
                <c:pt idx="11">
                  <c:v>3.7369609635444674E-2</c:v>
                </c:pt>
                <c:pt idx="12">
                  <c:v>5.0000000000000001E-3</c:v>
                </c:pt>
                <c:pt idx="13">
                  <c:v>1.1999999999999999E-3</c:v>
                </c:pt>
                <c:pt idx="14">
                  <c:v>4.8499989999999998E-3</c:v>
                </c:pt>
                <c:pt idx="15">
                  <c:v>4.3885913212121208E-2</c:v>
                </c:pt>
                <c:pt idx="16">
                  <c:v>2.6948863636363635E-2</c:v>
                </c:pt>
                <c:pt idx="17">
                  <c:v>1.3674169999999999E-3</c:v>
                </c:pt>
                <c:pt idx="18">
                  <c:v>0.1164</c:v>
                </c:pt>
                <c:pt idx="19">
                  <c:v>1.8416856060606061E-4</c:v>
                </c:pt>
              </c:numCache>
            </c:numRef>
          </c:val>
          <c:extLst>
            <c:ext xmlns:c16="http://schemas.microsoft.com/office/drawing/2014/chart" uri="{C3380CC4-5D6E-409C-BE32-E72D297353CC}">
              <c16:uniqueId val="{00000001-B7D5-41AA-83CC-9F02B8636453}"/>
            </c:ext>
          </c:extLst>
        </c:ser>
        <c:ser>
          <c:idx val="2"/>
          <c:order val="2"/>
          <c:tx>
            <c:strRef>
              <c:f>'Figure 10 Aid Type+Refugees (€)'!$E$7</c:f>
              <c:strCache>
                <c:ptCount val="1"/>
                <c:pt idx="0">
                  <c:v>Military</c:v>
                </c:pt>
              </c:strCache>
            </c:strRef>
          </c:tx>
          <c:spPr>
            <a:solidFill>
              <a:srgbClr val="C0000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f>'Figure 10 Aid Type+Refugees (€)'!$E$8:$E$27</c:f>
              <c:numCache>
                <c:formatCode>General</c:formatCode>
                <c:ptCount val="20"/>
                <c:pt idx="0">
                  <c:v>23.782060057969691</c:v>
                </c:pt>
                <c:pt idx="1">
                  <c:v>3.7678026456566056</c:v>
                </c:pt>
                <c:pt idx="2">
                  <c:v>1.8</c:v>
                </c:pt>
                <c:pt idx="3">
                  <c:v>1.4395290571969697</c:v>
                </c:pt>
                <c:pt idx="4">
                  <c:v>0.91932362269517998</c:v>
                </c:pt>
                <c:pt idx="5">
                  <c:v>0.19375000000000001</c:v>
                </c:pt>
                <c:pt idx="6">
                  <c:v>0.25621643027857555</c:v>
                </c:pt>
                <c:pt idx="7">
                  <c:v>0.15</c:v>
                </c:pt>
                <c:pt idx="8">
                  <c:v>0</c:v>
                </c:pt>
                <c:pt idx="9">
                  <c:v>0.49368447972463786</c:v>
                </c:pt>
                <c:pt idx="10">
                  <c:v>0.18246414973151129</c:v>
                </c:pt>
                <c:pt idx="11">
                  <c:v>0.26884611248521345</c:v>
                </c:pt>
                <c:pt idx="12">
                  <c:v>0.16365189393939394</c:v>
                </c:pt>
                <c:pt idx="13">
                  <c:v>8.7285984848484849E-3</c:v>
                </c:pt>
                <c:pt idx="14">
                  <c:v>0.245</c:v>
                </c:pt>
                <c:pt idx="15">
                  <c:v>3.7245335227272719E-2</c:v>
                </c:pt>
                <c:pt idx="16">
                  <c:v>8.4090909090909091E-2</c:v>
                </c:pt>
                <c:pt idx="17">
                  <c:v>0.21879999999999999</c:v>
                </c:pt>
                <c:pt idx="18">
                  <c:v>7.5999999999999998E-2</c:v>
                </c:pt>
                <c:pt idx="19">
                  <c:v>0</c:v>
                </c:pt>
              </c:numCache>
            </c:numRef>
          </c:val>
          <c:extLst>
            <c:ext xmlns:c16="http://schemas.microsoft.com/office/drawing/2014/chart" uri="{C3380CC4-5D6E-409C-BE32-E72D297353CC}">
              <c16:uniqueId val="{00000002-B7D5-41AA-83CC-9F02B8636453}"/>
            </c:ext>
          </c:extLst>
        </c:ser>
        <c:ser>
          <c:idx val="5"/>
          <c:order val="5"/>
          <c:tx>
            <c:strRef>
              <c:f>'Figure 10 Aid Type+Refugees (€)'!$H$7</c:f>
              <c:strCache>
                <c:ptCount val="1"/>
                <c:pt idx="0">
                  <c:v>Refugee cost (rough, baseline estimate)</c:v>
                </c:pt>
              </c:strCache>
            </c:strRef>
          </c:tx>
          <c:spPr>
            <a:solidFill>
              <a:schemeClr val="accent4"/>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f>'Figure 10 Aid Type+Refugees (€)'!$H$8:$H$27</c:f>
              <c:numCache>
                <c:formatCode>General</c:formatCode>
                <c:ptCount val="20"/>
                <c:pt idx="0">
                  <c:v>0</c:v>
                </c:pt>
                <c:pt idx="1">
                  <c:v>0.17319999999999999</c:v>
                </c:pt>
                <c:pt idx="2">
                  <c:v>2.389284</c:v>
                </c:pt>
                <c:pt idx="3">
                  <c:v>1.734</c:v>
                </c:pt>
                <c:pt idx="4">
                  <c:v>0</c:v>
                </c:pt>
                <c:pt idx="5">
                  <c:v>0.17594399999999999</c:v>
                </c:pt>
                <c:pt idx="6">
                  <c:v>0.76553599999999999</c:v>
                </c:pt>
                <c:pt idx="7">
                  <c:v>0.28312399999999999</c:v>
                </c:pt>
                <c:pt idx="8">
                  <c:v>0</c:v>
                </c:pt>
                <c:pt idx="9">
                  <c:v>3.8878000000000003E-2</c:v>
                </c:pt>
                <c:pt idx="10">
                  <c:v>8.1530000000000005E-2</c:v>
                </c:pt>
                <c:pt idx="11">
                  <c:v>6.1800000000000001E-2</c:v>
                </c:pt>
                <c:pt idx="12">
                  <c:v>0.15953999999999999</c:v>
                </c:pt>
                <c:pt idx="13">
                  <c:v>9.1427999999999995E-2</c:v>
                </c:pt>
                <c:pt idx="14">
                  <c:v>8.7817999999999993E-2</c:v>
                </c:pt>
                <c:pt idx="15">
                  <c:v>0.247776</c:v>
                </c:pt>
                <c:pt idx="16">
                  <c:v>0.13356000000000001</c:v>
                </c:pt>
                <c:pt idx="17">
                  <c:v>6.8517999999999996E-2</c:v>
                </c:pt>
                <c:pt idx="18">
                  <c:v>9.8000000000000004E-2</c:v>
                </c:pt>
                <c:pt idx="19">
                  <c:v>0.28999999999999998</c:v>
                </c:pt>
              </c:numCache>
            </c:numRef>
          </c:val>
          <c:extLst>
            <c:ext xmlns:c16="http://schemas.microsoft.com/office/drawing/2014/chart" uri="{C3380CC4-5D6E-409C-BE32-E72D297353CC}">
              <c16:uniqueId val="{00000001-1CF5-45F5-91AA-1830476D8225}"/>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3"/>
                <c:order val="3"/>
                <c:tx>
                  <c:strRef>
                    <c:extLst>
                      <c:ext uri="{02D57815-91ED-43cb-92C2-25804820EDAC}">
                        <c15:formulaRef>
                          <c15:sqref>'Figure 10 Aid Type+Refugees (€)'!$F$7</c15:sqref>
                        </c15:formulaRef>
                      </c:ext>
                    </c:extLst>
                    <c:strCache>
                      <c:ptCount val="1"/>
                      <c:pt idx="0">
                        <c:v>Total</c:v>
                      </c:pt>
                    </c:strCache>
                  </c:strRef>
                </c:tx>
                <c:spPr>
                  <a:solidFill>
                    <a:schemeClr val="accent2">
                      <a:lumMod val="60000"/>
                    </a:schemeClr>
                  </a:solidFill>
                  <a:ln>
                    <a:noFill/>
                  </a:ln>
                  <a:effectLst/>
                </c:spPr>
                <c:invertIfNegative val="0"/>
                <c:cat>
                  <c:strRef>
                    <c:extLst>
                      <c:ex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extLst>
                      <c:ext uri="{02D57815-91ED-43cb-92C2-25804820EDAC}">
                        <c15:formulaRef>
                          <c15:sqref>'Figure 10 Aid Type+Refugees (€)'!$F$8:$F$27</c15:sqref>
                        </c15:formulaRef>
                      </c:ext>
                    </c:extLst>
                    <c:numCache>
                      <c:formatCode>General</c:formatCode>
                      <c:ptCount val="20"/>
                      <c:pt idx="0">
                        <c:v>42.614541118575751</c:v>
                      </c:pt>
                      <c:pt idx="1">
                        <c:v>6.2174215796997103</c:v>
                      </c:pt>
                      <c:pt idx="2">
                        <c:v>2.8562620802224519</c:v>
                      </c:pt>
                      <c:pt idx="3">
                        <c:v>3.3395290571969696</c:v>
                      </c:pt>
                      <c:pt idx="4">
                        <c:v>2.6102730131643339</c:v>
                      </c:pt>
                      <c:pt idx="5">
                        <c:v>2.1131814393939394</c:v>
                      </c:pt>
                      <c:pt idx="6">
                        <c:v>0.36058153576489377</c:v>
                      </c:pt>
                      <c:pt idx="7">
                        <c:v>0.49070737215909088</c:v>
                      </c:pt>
                      <c:pt idx="8">
                        <c:v>0.66662878787878777</c:v>
                      </c:pt>
                      <c:pt idx="9">
                        <c:v>0.56310128150326133</c:v>
                      </c:pt>
                      <c:pt idx="10">
                        <c:v>0.35865266399120632</c:v>
                      </c:pt>
                      <c:pt idx="11">
                        <c:v>0.32621572212065814</c:v>
                      </c:pt>
                      <c:pt idx="12">
                        <c:v>0.16865189393939395</c:v>
                      </c:pt>
                      <c:pt idx="13">
                        <c:v>0.25992859848484845</c:v>
                      </c:pt>
                      <c:pt idx="14">
                        <c:v>0.24984999899999999</c:v>
                      </c:pt>
                      <c:pt idx="15">
                        <c:v>8.1131248439393927E-2</c:v>
                      </c:pt>
                      <c:pt idx="16">
                        <c:v>0.19103977272727274</c:v>
                      </c:pt>
                      <c:pt idx="17">
                        <c:v>0.23516741699999999</c:v>
                      </c:pt>
                      <c:pt idx="18">
                        <c:v>0.19240000000000002</c:v>
                      </c:pt>
                      <c:pt idx="19">
                        <c:v>1.8416856060606061E-4</c:v>
                      </c:pt>
                    </c:numCache>
                  </c:numRef>
                </c:val>
                <c:extLst>
                  <c:ext xmlns:c16="http://schemas.microsoft.com/office/drawing/2014/chart" uri="{C3380CC4-5D6E-409C-BE32-E72D297353CC}">
                    <c16:uniqueId val="{00000003-B7D5-41AA-83CC-9F02B863645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10 Aid Type+Refugees (€)'!$G$7</c15:sqref>
                        </c15:formulaRef>
                      </c:ext>
                    </c:extLst>
                    <c:strCache>
                      <c:ptCount val="1"/>
                      <c:pt idx="0">
                        <c:v>Number of Refugees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extLst xmlns:c15="http://schemas.microsoft.com/office/drawing/2012/chart">
                      <c:ext xmlns:c15="http://schemas.microsoft.com/office/drawing/2012/chart" uri="{02D57815-91ED-43cb-92C2-25804820EDAC}">
                        <c15:formulaRef>
                          <c15:sqref>'Figure 10 Aid Type+Refugees (€)'!$G$8:$G$27</c15:sqref>
                        </c15:formulaRef>
                      </c:ext>
                    </c:extLst>
                    <c:numCache>
                      <c:formatCode>General</c:formatCode>
                      <c:ptCount val="20"/>
                      <c:pt idx="0">
                        <c:v>0</c:v>
                      </c:pt>
                      <c:pt idx="1">
                        <c:v>86600</c:v>
                      </c:pt>
                      <c:pt idx="2">
                        <c:v>1194642</c:v>
                      </c:pt>
                      <c:pt idx="3">
                        <c:v>867000</c:v>
                      </c:pt>
                      <c:pt idx="4">
                        <c:v>0</c:v>
                      </c:pt>
                      <c:pt idx="5">
                        <c:v>87972</c:v>
                      </c:pt>
                      <c:pt idx="6">
                        <c:v>382768</c:v>
                      </c:pt>
                      <c:pt idx="7">
                        <c:v>141562</c:v>
                      </c:pt>
                      <c:pt idx="8">
                        <c:v>0</c:v>
                      </c:pt>
                      <c:pt idx="9">
                        <c:v>19439</c:v>
                      </c:pt>
                      <c:pt idx="10">
                        <c:v>40765</c:v>
                      </c:pt>
                      <c:pt idx="11">
                        <c:v>30900</c:v>
                      </c:pt>
                      <c:pt idx="12">
                        <c:v>79770</c:v>
                      </c:pt>
                      <c:pt idx="13">
                        <c:v>45714</c:v>
                      </c:pt>
                      <c:pt idx="14">
                        <c:v>43909</c:v>
                      </c:pt>
                      <c:pt idx="15">
                        <c:v>123888</c:v>
                      </c:pt>
                      <c:pt idx="16">
                        <c:v>66780</c:v>
                      </c:pt>
                      <c:pt idx="17">
                        <c:v>34259</c:v>
                      </c:pt>
                      <c:pt idx="18">
                        <c:v>49000</c:v>
                      </c:pt>
                      <c:pt idx="19">
                        <c:v>145000</c:v>
                      </c:pt>
                    </c:numCache>
                  </c:numRef>
                </c:val>
                <c:extLst xmlns:c15="http://schemas.microsoft.com/office/drawing/2012/chart">
                  <c:ext xmlns:c16="http://schemas.microsoft.com/office/drawing/2014/chart" uri="{C3380CC4-5D6E-409C-BE32-E72D297353CC}">
                    <c16:uniqueId val="{00000000-1CF5-45F5-91AA-1830476D822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10 Aid Type+Refugees (€)'!$I$7</c15:sqref>
                        </c15:formulaRef>
                      </c:ext>
                    </c:extLst>
                    <c:strCache>
                      <c:ptCount val="1"/>
                      <c:pt idx="0">
                        <c:v>Overall Total</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Denmark</c:v>
                      </c:pt>
                      <c:pt idx="12">
                        <c:v>Slovakia</c:v>
                      </c:pt>
                      <c:pt idx="13">
                        <c:v>Portugal</c:v>
                      </c:pt>
                      <c:pt idx="14">
                        <c:v>Estonia</c:v>
                      </c:pt>
                      <c:pt idx="15">
                        <c:v>Spain</c:v>
                      </c:pt>
                      <c:pt idx="16">
                        <c:v>Netherlands</c:v>
                      </c:pt>
                      <c:pt idx="17">
                        <c:v>Latvia</c:v>
                      </c:pt>
                      <c:pt idx="18">
                        <c:v>Belgium</c:v>
                      </c:pt>
                      <c:pt idx="19">
                        <c:v>Turkey</c:v>
                      </c:pt>
                    </c:strCache>
                  </c:strRef>
                </c:cat>
                <c:val>
                  <c:numRef>
                    <c:extLst xmlns:c15="http://schemas.microsoft.com/office/drawing/2012/chart">
                      <c:ext xmlns:c15="http://schemas.microsoft.com/office/drawing/2012/chart" uri="{02D57815-91ED-43cb-92C2-25804820EDAC}">
                        <c15:formulaRef>
                          <c15:sqref>'Figure 10 Aid Type+Refugees (€)'!$I$8:$I$27</c15:sqref>
                        </c15:formulaRef>
                      </c:ext>
                    </c:extLst>
                    <c:numCache>
                      <c:formatCode>General</c:formatCode>
                      <c:ptCount val="20"/>
                      <c:pt idx="0">
                        <c:v>42.614541118575751</c:v>
                      </c:pt>
                      <c:pt idx="1">
                        <c:v>6.3906215796997099</c:v>
                      </c:pt>
                      <c:pt idx="2">
                        <c:v>5.2455460802224518</c:v>
                      </c:pt>
                      <c:pt idx="3">
                        <c:v>5.0735290571969696</c:v>
                      </c:pt>
                      <c:pt idx="4">
                        <c:v>2.6102730131643339</c:v>
                      </c:pt>
                      <c:pt idx="5">
                        <c:v>2.2891254393939393</c:v>
                      </c:pt>
                      <c:pt idx="6">
                        <c:v>1.1261175357648938</c:v>
                      </c:pt>
                      <c:pt idx="7">
                        <c:v>0.77383137215909081</c:v>
                      </c:pt>
                      <c:pt idx="8">
                        <c:v>0.66662878787878777</c:v>
                      </c:pt>
                      <c:pt idx="9">
                        <c:v>0.6019792815032613</c:v>
                      </c:pt>
                      <c:pt idx="10">
                        <c:v>0.44018266399120631</c:v>
                      </c:pt>
                      <c:pt idx="11">
                        <c:v>0.38801572212065816</c:v>
                      </c:pt>
                      <c:pt idx="12">
                        <c:v>0.32819189393939396</c:v>
                      </c:pt>
                      <c:pt idx="13">
                        <c:v>0.35135659848484846</c:v>
                      </c:pt>
                      <c:pt idx="14">
                        <c:v>0.337667999</c:v>
                      </c:pt>
                      <c:pt idx="15">
                        <c:v>0.3289072484393939</c:v>
                      </c:pt>
                      <c:pt idx="16">
                        <c:v>0.32459977272727275</c:v>
                      </c:pt>
                      <c:pt idx="17">
                        <c:v>0.30368541699999996</c:v>
                      </c:pt>
                      <c:pt idx="18">
                        <c:v>0.29039999999999999</c:v>
                      </c:pt>
                      <c:pt idx="19">
                        <c:v>0.29018416856060603</c:v>
                      </c:pt>
                    </c:numCache>
                  </c:numRef>
                </c:val>
                <c:extLst xmlns:c15="http://schemas.microsoft.com/office/drawing/2012/chart">
                  <c:ext xmlns:c16="http://schemas.microsoft.com/office/drawing/2014/chart" uri="{C3380CC4-5D6E-409C-BE32-E72D297353CC}">
                    <c16:uniqueId val="{00000002-1CF5-45F5-91AA-1830476D8225}"/>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34467695850818436"/>
          <c:y val="0.14099908749015477"/>
          <c:w val="0.38085524341383237"/>
          <c:h val="0.27076249064319713"/>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509603312034127"/>
          <c:y val="1.9085050156401683E-2"/>
          <c:w val="0.75304563848606065"/>
          <c:h val="0.93656091575881784"/>
        </c:manualLayout>
      </c:layout>
      <c:barChart>
        <c:barDir val="bar"/>
        <c:grouping val="stacked"/>
        <c:varyColors val="0"/>
        <c:ser>
          <c:idx val="0"/>
          <c:order val="0"/>
          <c:tx>
            <c:strRef>
              <c:f>'Figure 11 Bil. Aid+Refugee (%)'!$C$7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11 Bil. Aid+Refugee (%)'!$B$8:$B$27</c:f>
              <c:strCache>
                <c:ptCount val="20"/>
                <c:pt idx="0">
                  <c:v>Estonia</c:v>
                </c:pt>
                <c:pt idx="1">
                  <c:v>Latvia</c:v>
                </c:pt>
                <c:pt idx="2">
                  <c:v>Poland</c:v>
                </c:pt>
                <c:pt idx="3">
                  <c:v>Czech Republic</c:v>
                </c:pt>
                <c:pt idx="4">
                  <c:v>Lithuania</c:v>
                </c:pt>
                <c:pt idx="5">
                  <c:v>Slovakia</c:v>
                </c:pt>
                <c:pt idx="6">
                  <c:v>Bulgaria</c:v>
                </c:pt>
                <c:pt idx="7">
                  <c:v>United Kingdom</c:v>
                </c:pt>
                <c:pt idx="8">
                  <c:v>United States</c:v>
                </c:pt>
                <c:pt idx="9">
                  <c:v>Norway</c:v>
                </c:pt>
                <c:pt idx="10">
                  <c:v>Canada</c:v>
                </c:pt>
                <c:pt idx="11">
                  <c:v>Portugal</c:v>
                </c:pt>
                <c:pt idx="12">
                  <c:v>Greece</c:v>
                </c:pt>
                <c:pt idx="13">
                  <c:v>Germany</c:v>
                </c:pt>
                <c:pt idx="14">
                  <c:v>Cyprus</c:v>
                </c:pt>
                <c:pt idx="15">
                  <c:v>Denmark</c:v>
                </c:pt>
                <c:pt idx="16">
                  <c:v>Croatia</c:v>
                </c:pt>
                <c:pt idx="17">
                  <c:v>Luxembourg</c:v>
                </c:pt>
                <c:pt idx="18">
                  <c:v>France</c:v>
                </c:pt>
                <c:pt idx="19">
                  <c:v>Sweden</c:v>
                </c:pt>
              </c:strCache>
            </c:strRef>
          </c:cat>
          <c:val>
            <c:numRef>
              <c:f>'Figure 11 Bil. Aid+Refugee (%)'!$C$8:$C$27</c:f>
              <c:numCache>
                <c:formatCode>0.00</c:formatCode>
                <c:ptCount val="20"/>
                <c:pt idx="0">
                  <c:v>0.86081273274739001</c:v>
                </c:pt>
                <c:pt idx="1">
                  <c:v>0.73674439959035609</c:v>
                </c:pt>
                <c:pt idx="2">
                  <c:v>0.50554636366421735</c:v>
                </c:pt>
                <c:pt idx="3">
                  <c:v>0.15520304766791065</c:v>
                </c:pt>
                <c:pt idx="4">
                  <c:v>0.18954865124491221</c:v>
                </c:pt>
                <c:pt idx="5">
                  <c:v>0.16933732524909542</c:v>
                </c:pt>
                <c:pt idx="6">
                  <c:v>6.5039039094326829E-3</c:v>
                </c:pt>
                <c:pt idx="7">
                  <c:v>0.23790084532895767</c:v>
                </c:pt>
                <c:pt idx="8">
                  <c:v>0.21477063422911147</c:v>
                </c:pt>
                <c:pt idx="9">
                  <c:v>0.16417385807762389</c:v>
                </c:pt>
                <c:pt idx="10">
                  <c:v>0.16752212744448169</c:v>
                </c:pt>
                <c:pt idx="11">
                  <c:v>0.1201040522624147</c:v>
                </c:pt>
                <c:pt idx="12">
                  <c:v>0.13831696526918708</c:v>
                </c:pt>
                <c:pt idx="13">
                  <c:v>9.1683909963377233E-2</c:v>
                </c:pt>
                <c:pt idx="14">
                  <c:v>1.0271141059577086E-2</c:v>
                </c:pt>
                <c:pt idx="15">
                  <c:v>9.674204988249431E-2</c:v>
                </c:pt>
                <c:pt idx="16">
                  <c:v>4.2313057024944506E-2</c:v>
                </c:pt>
                <c:pt idx="17">
                  <c:v>7.7739013999811618E-2</c:v>
                </c:pt>
                <c:pt idx="18">
                  <c:v>8.4838404674404108E-2</c:v>
                </c:pt>
                <c:pt idx="19">
                  <c:v>6.9978413803567049E-2</c:v>
                </c:pt>
              </c:numCache>
            </c:numRef>
          </c:val>
          <c:extLst>
            <c:ext xmlns:c16="http://schemas.microsoft.com/office/drawing/2014/chart" uri="{C3380CC4-5D6E-409C-BE32-E72D297353CC}">
              <c16:uniqueId val="{00000000-C87D-4FC8-BF56-3949AA19737F}"/>
            </c:ext>
          </c:extLst>
        </c:ser>
        <c:ser>
          <c:idx val="1"/>
          <c:order val="1"/>
          <c:tx>
            <c:strRef>
              <c:f>'Figure 11 Bil. Aid+Refugee (%)'!$D$7</c:f>
              <c:strCache>
                <c:ptCount val="1"/>
                <c:pt idx="0">
                  <c:v>Refugee costs (percent of GDP, rough baseline estimate)</c:v>
                </c:pt>
              </c:strCache>
            </c:strRef>
          </c:tx>
          <c:spPr>
            <a:solidFill>
              <a:srgbClr val="92D050"/>
            </a:solidFill>
            <a:ln>
              <a:solidFill>
                <a:schemeClr val="tx1"/>
              </a:solidFill>
            </a:ln>
            <a:effectLst/>
          </c:spPr>
          <c:invertIfNegative val="0"/>
          <c:cat>
            <c:strRef>
              <c:f>'Figure 11 Bil. Aid+Refugee (%)'!$B$8:$B$27</c:f>
              <c:strCache>
                <c:ptCount val="20"/>
                <c:pt idx="0">
                  <c:v>Estonia</c:v>
                </c:pt>
                <c:pt idx="1">
                  <c:v>Latvia</c:v>
                </c:pt>
                <c:pt idx="2">
                  <c:v>Poland</c:v>
                </c:pt>
                <c:pt idx="3">
                  <c:v>Czech Republic</c:v>
                </c:pt>
                <c:pt idx="4">
                  <c:v>Lithuania</c:v>
                </c:pt>
                <c:pt idx="5">
                  <c:v>Slovakia</c:v>
                </c:pt>
                <c:pt idx="6">
                  <c:v>Bulgaria</c:v>
                </c:pt>
                <c:pt idx="7">
                  <c:v>United Kingdom</c:v>
                </c:pt>
                <c:pt idx="8">
                  <c:v>United States</c:v>
                </c:pt>
                <c:pt idx="9">
                  <c:v>Norway</c:v>
                </c:pt>
                <c:pt idx="10">
                  <c:v>Canada</c:v>
                </c:pt>
                <c:pt idx="11">
                  <c:v>Portugal</c:v>
                </c:pt>
                <c:pt idx="12">
                  <c:v>Greece</c:v>
                </c:pt>
                <c:pt idx="13">
                  <c:v>Germany</c:v>
                </c:pt>
                <c:pt idx="14">
                  <c:v>Cyprus</c:v>
                </c:pt>
                <c:pt idx="15">
                  <c:v>Denmark</c:v>
                </c:pt>
                <c:pt idx="16">
                  <c:v>Croatia</c:v>
                </c:pt>
                <c:pt idx="17">
                  <c:v>Luxembourg</c:v>
                </c:pt>
                <c:pt idx="18">
                  <c:v>France</c:v>
                </c:pt>
                <c:pt idx="19">
                  <c:v>Sweden</c:v>
                </c:pt>
              </c:strCache>
            </c:strRef>
          </c:cat>
          <c:val>
            <c:numRef>
              <c:f>'Figure 11 Bil. Aid+Refugee (%)'!$D$8:$D$27</c:f>
              <c:numCache>
                <c:formatCode>0.00</c:formatCode>
                <c:ptCount val="20"/>
                <c:pt idx="0">
                  <c:v>0.30256094803670697</c:v>
                </c:pt>
                <c:pt idx="1">
                  <c:v>0.21465666211374859</c:v>
                </c:pt>
                <c:pt idx="2">
                  <c:v>0.42289320938890262</c:v>
                </c:pt>
                <c:pt idx="3">
                  <c:v>0.32950528109395594</c:v>
                </c:pt>
                <c:pt idx="4">
                  <c:v>0.21654859606953231</c:v>
                </c:pt>
                <c:pt idx="5">
                  <c:v>0.16018839895120932</c:v>
                </c:pt>
                <c:pt idx="6">
                  <c:v>0.24910288962967042</c:v>
                </c:pt>
                <c:pt idx="7">
                  <c:v>6.6272530956418699E-3</c:v>
                </c:pt>
                <c:pt idx="8">
                  <c:v>0</c:v>
                </c:pt>
                <c:pt idx="9">
                  <c:v>1.1334996854033788E-2</c:v>
                </c:pt>
                <c:pt idx="10">
                  <c:v>0</c:v>
                </c:pt>
                <c:pt idx="11">
                  <c:v>4.2245729612888826E-2</c:v>
                </c:pt>
                <c:pt idx="12">
                  <c:v>1.7408449272169592E-2</c:v>
                </c:pt>
                <c:pt idx="13">
                  <c:v>4.7605484831425827E-2</c:v>
                </c:pt>
                <c:pt idx="14">
                  <c:v>0.10707313515610874</c:v>
                </c:pt>
                <c:pt idx="15">
                  <c:v>1.8327316181673207E-2</c:v>
                </c:pt>
                <c:pt idx="16">
                  <c:v>5.5399415912724646E-2</c:v>
                </c:pt>
                <c:pt idx="17">
                  <c:v>1.6627511327737481E-2</c:v>
                </c:pt>
                <c:pt idx="18">
                  <c:v>7.0636661830204067E-3</c:v>
                </c:pt>
                <c:pt idx="19">
                  <c:v>1.5907703051509216E-2</c:v>
                </c:pt>
              </c:numCache>
            </c:numRef>
          </c:val>
          <c:extLst>
            <c:ext xmlns:c16="http://schemas.microsoft.com/office/drawing/2014/chart" uri="{C3380CC4-5D6E-409C-BE32-E72D297353CC}">
              <c16:uniqueId val="{00000001-C87D-4FC8-BF56-3949AA19737F}"/>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51537870749798731"/>
          <c:y val="0.34862965609824748"/>
          <c:w val="0.39861503930696368"/>
          <c:h val="0.14059324776183799"/>
        </c:manualLayout>
      </c:layout>
      <c:overlay val="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24154164309848"/>
          <c:y val="1.9685692273540438E-2"/>
          <c:w val="0.77969204248556734"/>
          <c:h val="0.94149057860304775"/>
        </c:manualLayout>
      </c:layout>
      <c:barChart>
        <c:barDir val="bar"/>
        <c:grouping val="stacked"/>
        <c:varyColors val="0"/>
        <c:ser>
          <c:idx val="0"/>
          <c:order val="0"/>
          <c:tx>
            <c:strRef>
              <c:f>'Figure A1 Ranking in € with EU'!$C$7</c:f>
              <c:strCache>
                <c:ptCount val="1"/>
                <c:pt idx="0">
                  <c:v>Bilateral government support</c:v>
                </c:pt>
              </c:strCache>
            </c:strRef>
          </c:tx>
          <c:spPr>
            <a:solidFill>
              <a:schemeClr val="accent5">
                <a:lumMod val="75000"/>
              </a:schemeClr>
            </a:solidFill>
            <a:ln>
              <a:solidFill>
                <a:schemeClr val="tx1"/>
              </a:solidFill>
            </a:ln>
            <a:effectLst/>
          </c:spPr>
          <c:invertIfNegative val="0"/>
          <c:cat>
            <c:strRef>
              <c:f>'Figure A1 Ranking in € with EU'!$B$8:$B$47</c:f>
              <c:strCache>
                <c:ptCount val="40"/>
                <c:pt idx="0">
                  <c:v>United States</c:v>
                </c:pt>
                <c:pt idx="1">
                  <c:v>Germany</c:v>
                </c:pt>
                <c:pt idx="2">
                  <c:v>United Kingdom</c:v>
                </c:pt>
                <c:pt idx="3">
                  <c:v>France</c:v>
                </c:pt>
                <c:pt idx="4">
                  <c:v>Poland</c:v>
                </c:pt>
                <c:pt idx="5">
                  <c:v>Canada</c:v>
                </c:pt>
                <c:pt idx="6">
                  <c:v>Italy</c:v>
                </c:pt>
                <c:pt idx="7">
                  <c:v>Spain</c:v>
                </c:pt>
                <c:pt idx="8">
                  <c:v>Netherlands</c:v>
                </c:pt>
                <c:pt idx="9">
                  <c:v>Sweden</c:v>
                </c:pt>
                <c:pt idx="10">
                  <c:v>Belgium</c:v>
                </c:pt>
                <c:pt idx="11">
                  <c:v>Denmark</c:v>
                </c:pt>
                <c:pt idx="12">
                  <c:v>Japan</c:v>
                </c:pt>
                <c:pt idx="13">
                  <c:v>Czech Republic</c:v>
                </c:pt>
                <c:pt idx="14">
                  <c:v>Norway</c:v>
                </c:pt>
                <c:pt idx="15">
                  <c:v>Austria</c:v>
                </c:pt>
                <c:pt idx="16">
                  <c:v>Portugal</c:v>
                </c:pt>
                <c:pt idx="17">
                  <c:v>Greece</c:v>
                </c:pt>
                <c:pt idx="18">
                  <c:v>Finland</c:v>
                </c:pt>
                <c:pt idx="19">
                  <c:v>Ireland</c:v>
                </c:pt>
                <c:pt idx="20">
                  <c:v>Slovakia</c:v>
                </c:pt>
                <c:pt idx="21">
                  <c:v>Estonia</c:v>
                </c:pt>
                <c:pt idx="22">
                  <c:v>Latvia</c:v>
                </c:pt>
                <c:pt idx="23">
                  <c:v>Romania</c:v>
                </c:pt>
                <c:pt idx="24">
                  <c:v>Australia</c:v>
                </c:pt>
                <c:pt idx="25">
                  <c:v>Hungary</c:v>
                </c:pt>
                <c:pt idx="26">
                  <c:v>Lithuania</c:v>
                </c:pt>
                <c:pt idx="27">
                  <c:v>Luxembourg</c:v>
                </c:pt>
                <c:pt idx="28">
                  <c:v>Bulgaria</c:v>
                </c:pt>
                <c:pt idx="29">
                  <c:v>Croatia</c:v>
                </c:pt>
                <c:pt idx="30">
                  <c:v>Slovenia</c:v>
                </c:pt>
                <c:pt idx="31">
                  <c:v>Switzerland</c:v>
                </c:pt>
                <c:pt idx="32">
                  <c:v>South Korea</c:v>
                </c:pt>
                <c:pt idx="33">
                  <c:v>Cyprus</c:v>
                </c:pt>
                <c:pt idx="34">
                  <c:v>New Zealand</c:v>
                </c:pt>
                <c:pt idx="35">
                  <c:v>Malta</c:v>
                </c:pt>
                <c:pt idx="36">
                  <c:v>Taiwan</c:v>
                </c:pt>
                <c:pt idx="37">
                  <c:v>China</c:v>
                </c:pt>
                <c:pt idx="38">
                  <c:v>India</c:v>
                </c:pt>
                <c:pt idx="39">
                  <c:v>Turkey</c:v>
                </c:pt>
              </c:strCache>
            </c:strRef>
          </c:cat>
          <c:val>
            <c:numRef>
              <c:f>'Figure A1 Ranking in € with EU'!$C$8:$C$47</c:f>
              <c:numCache>
                <c:formatCode>General</c:formatCode>
                <c:ptCount val="40"/>
                <c:pt idx="0">
                  <c:v>42.614541118575751</c:v>
                </c:pt>
                <c:pt idx="1">
                  <c:v>3.3395290571969696</c:v>
                </c:pt>
                <c:pt idx="2">
                  <c:v>6.2174215796997103</c:v>
                </c:pt>
                <c:pt idx="3">
                  <c:v>2.1131814393939394</c:v>
                </c:pt>
                <c:pt idx="4">
                  <c:v>2.8562620802224519</c:v>
                </c:pt>
                <c:pt idx="5">
                  <c:v>2.6102730131643339</c:v>
                </c:pt>
                <c:pt idx="6">
                  <c:v>0.49070737215909088</c:v>
                </c:pt>
                <c:pt idx="7">
                  <c:v>8.1131248439393927E-2</c:v>
                </c:pt>
                <c:pt idx="8">
                  <c:v>0.19103977272727274</c:v>
                </c:pt>
                <c:pt idx="9">
                  <c:v>0.35865266399120632</c:v>
                </c:pt>
                <c:pt idx="10">
                  <c:v>0.19240000000000002</c:v>
                </c:pt>
                <c:pt idx="11">
                  <c:v>0.32621572212065814</c:v>
                </c:pt>
                <c:pt idx="12">
                  <c:v>0.66662878787878777</c:v>
                </c:pt>
                <c:pt idx="13">
                  <c:v>0.36058153576489377</c:v>
                </c:pt>
                <c:pt idx="14">
                  <c:v>0.56310128150326133</c:v>
                </c:pt>
                <c:pt idx="15">
                  <c:v>5.8519942282196973E-2</c:v>
                </c:pt>
                <c:pt idx="16">
                  <c:v>0.25992859848484845</c:v>
                </c:pt>
                <c:pt idx="17">
                  <c:v>0.24734007386363635</c:v>
                </c:pt>
                <c:pt idx="18">
                  <c:v>0.1097709375</c:v>
                </c:pt>
                <c:pt idx="19">
                  <c:v>6.7688318181818183E-2</c:v>
                </c:pt>
                <c:pt idx="20">
                  <c:v>0.16865189393939395</c:v>
                </c:pt>
                <c:pt idx="21">
                  <c:v>0.24984999899999999</c:v>
                </c:pt>
                <c:pt idx="22">
                  <c:v>0.23516741699999999</c:v>
                </c:pt>
                <c:pt idx="23">
                  <c:v>9.6393374717699803E-3</c:v>
                </c:pt>
                <c:pt idx="24">
                  <c:v>0.23281758416893553</c:v>
                </c:pt>
                <c:pt idx="25">
                  <c:v>4.5396535278737327E-2</c:v>
                </c:pt>
                <c:pt idx="26">
                  <c:v>0.10150000000000001</c:v>
                </c:pt>
                <c:pt idx="27">
                  <c:v>5.4000000000000006E-2</c:v>
                </c:pt>
                <c:pt idx="28">
                  <c:v>4.3044848484848483E-3</c:v>
                </c:pt>
                <c:pt idx="29">
                  <c:v>2.2921087170287686E-2</c:v>
                </c:pt>
                <c:pt idx="30">
                  <c:v>8.7117878787878796E-3</c:v>
                </c:pt>
                <c:pt idx="31">
                  <c:v>5.8622374206155348E-2</c:v>
                </c:pt>
                <c:pt idx="32">
                  <c:v>4.2405303030303022E-2</c:v>
                </c:pt>
                <c:pt idx="33">
                  <c:v>2.3939393939393936E-3</c:v>
                </c:pt>
                <c:pt idx="34">
                  <c:v>1.622039910738169E-2</c:v>
                </c:pt>
                <c:pt idx="35">
                  <c:v>1.15E-3</c:v>
                </c:pt>
                <c:pt idx="36">
                  <c:v>1.1837121212121207E-2</c:v>
                </c:pt>
                <c:pt idx="37">
                  <c:v>2.1217307665106011E-3</c:v>
                </c:pt>
                <c:pt idx="38">
                  <c:v>1.7708333333333332E-3</c:v>
                </c:pt>
                <c:pt idx="39">
                  <c:v>1.8416856060606061E-4</c:v>
                </c:pt>
              </c:numCache>
            </c:numRef>
          </c:val>
          <c:extLst>
            <c:ext xmlns:c16="http://schemas.microsoft.com/office/drawing/2014/chart" uri="{C3380CC4-5D6E-409C-BE32-E72D297353CC}">
              <c16:uniqueId val="{00000001-2093-46D4-A034-48A3B2AA5057}"/>
            </c:ext>
          </c:extLst>
        </c:ser>
        <c:ser>
          <c:idx val="1"/>
          <c:order val="1"/>
          <c:tx>
            <c:strRef>
              <c:f>'Figure A1 Ranking in € with EU'!$D$7</c:f>
              <c:strCache>
                <c:ptCount val="1"/>
                <c:pt idx="0">
                  <c:v>Share EU aid (incl. MFA Program, EPF and EIB), percent of GDP</c:v>
                </c:pt>
              </c:strCache>
            </c:strRef>
          </c:tx>
          <c:spPr>
            <a:solidFill>
              <a:schemeClr val="accent4">
                <a:lumMod val="75000"/>
              </a:schemeClr>
            </a:solidFill>
            <a:ln>
              <a:solidFill>
                <a:srgbClr val="000000"/>
              </a:solidFill>
              <a:prstDash val="solid"/>
            </a:ln>
            <a:effectLst/>
          </c:spPr>
          <c:invertIfNegative val="0"/>
          <c:cat>
            <c:strRef>
              <c:f>'Figure A1 Ranking in € with EU'!$B$8:$B$47</c:f>
              <c:strCache>
                <c:ptCount val="40"/>
                <c:pt idx="0">
                  <c:v>United States</c:v>
                </c:pt>
                <c:pt idx="1">
                  <c:v>Germany</c:v>
                </c:pt>
                <c:pt idx="2">
                  <c:v>United Kingdom</c:v>
                </c:pt>
                <c:pt idx="3">
                  <c:v>France</c:v>
                </c:pt>
                <c:pt idx="4">
                  <c:v>Poland</c:v>
                </c:pt>
                <c:pt idx="5">
                  <c:v>Canada</c:v>
                </c:pt>
                <c:pt idx="6">
                  <c:v>Italy</c:v>
                </c:pt>
                <c:pt idx="7">
                  <c:v>Spain</c:v>
                </c:pt>
                <c:pt idx="8">
                  <c:v>Netherlands</c:v>
                </c:pt>
                <c:pt idx="9">
                  <c:v>Sweden</c:v>
                </c:pt>
                <c:pt idx="10">
                  <c:v>Belgium</c:v>
                </c:pt>
                <c:pt idx="11">
                  <c:v>Denmark</c:v>
                </c:pt>
                <c:pt idx="12">
                  <c:v>Japan</c:v>
                </c:pt>
                <c:pt idx="13">
                  <c:v>Czech Republic</c:v>
                </c:pt>
                <c:pt idx="14">
                  <c:v>Norway</c:v>
                </c:pt>
                <c:pt idx="15">
                  <c:v>Austria</c:v>
                </c:pt>
                <c:pt idx="16">
                  <c:v>Portugal</c:v>
                </c:pt>
                <c:pt idx="17">
                  <c:v>Greece</c:v>
                </c:pt>
                <c:pt idx="18">
                  <c:v>Finland</c:v>
                </c:pt>
                <c:pt idx="19">
                  <c:v>Ireland</c:v>
                </c:pt>
                <c:pt idx="20">
                  <c:v>Slovakia</c:v>
                </c:pt>
                <c:pt idx="21">
                  <c:v>Estonia</c:v>
                </c:pt>
                <c:pt idx="22">
                  <c:v>Latvia</c:v>
                </c:pt>
                <c:pt idx="23">
                  <c:v>Romania</c:v>
                </c:pt>
                <c:pt idx="24">
                  <c:v>Australia</c:v>
                </c:pt>
                <c:pt idx="25">
                  <c:v>Hungary</c:v>
                </c:pt>
                <c:pt idx="26">
                  <c:v>Lithuania</c:v>
                </c:pt>
                <c:pt idx="27">
                  <c:v>Luxembourg</c:v>
                </c:pt>
                <c:pt idx="28">
                  <c:v>Bulgaria</c:v>
                </c:pt>
                <c:pt idx="29">
                  <c:v>Croatia</c:v>
                </c:pt>
                <c:pt idx="30">
                  <c:v>Slovenia</c:v>
                </c:pt>
                <c:pt idx="31">
                  <c:v>Switzerland</c:v>
                </c:pt>
                <c:pt idx="32">
                  <c:v>South Korea</c:v>
                </c:pt>
                <c:pt idx="33">
                  <c:v>Cyprus</c:v>
                </c:pt>
                <c:pt idx="34">
                  <c:v>New Zealand</c:v>
                </c:pt>
                <c:pt idx="35">
                  <c:v>Malta</c:v>
                </c:pt>
                <c:pt idx="36">
                  <c:v>Taiwan</c:v>
                </c:pt>
                <c:pt idx="37">
                  <c:v>China</c:v>
                </c:pt>
                <c:pt idx="38">
                  <c:v>India</c:v>
                </c:pt>
                <c:pt idx="39">
                  <c:v>Turkey</c:v>
                </c:pt>
              </c:strCache>
            </c:strRef>
          </c:cat>
          <c:val>
            <c:numRef>
              <c:f>'Figure A1 Ranking in € with EU'!$D$8:$D$47</c:f>
              <c:numCache>
                <c:formatCode>General</c:formatCode>
                <c:ptCount val="40"/>
                <c:pt idx="0">
                  <c:v>0</c:v>
                </c:pt>
                <c:pt idx="1">
                  <c:v>3.2477259680004709</c:v>
                </c:pt>
                <c:pt idx="2">
                  <c:v>0</c:v>
                </c:pt>
                <c:pt idx="3">
                  <c:v>2.7120629950902715</c:v>
                </c:pt>
                <c:pt idx="4">
                  <c:v>0.6577339140374947</c:v>
                </c:pt>
                <c:pt idx="5">
                  <c:v>0</c:v>
                </c:pt>
                <c:pt idx="6">
                  <c:v>2.0605550492453482</c:v>
                </c:pt>
                <c:pt idx="7">
                  <c:v>1.7881295188813735</c:v>
                </c:pt>
                <c:pt idx="8">
                  <c:v>1.1473334599235288</c:v>
                </c:pt>
                <c:pt idx="9">
                  <c:v>0.53404197159726929</c:v>
                </c:pt>
                <c:pt idx="10">
                  <c:v>0.58300414980180326</c:v>
                </c:pt>
                <c:pt idx="11">
                  <c:v>0.39875864288287427</c:v>
                </c:pt>
                <c:pt idx="12">
                  <c:v>0</c:v>
                </c:pt>
                <c:pt idx="13">
                  <c:v>0.22086868320577169</c:v>
                </c:pt>
                <c:pt idx="14">
                  <c:v>0</c:v>
                </c:pt>
                <c:pt idx="15">
                  <c:v>0.45199082061402174</c:v>
                </c:pt>
                <c:pt idx="16">
                  <c:v>0.21744850853035302</c:v>
                </c:pt>
                <c:pt idx="17">
                  <c:v>0.222018301865234</c:v>
                </c:pt>
                <c:pt idx="18">
                  <c:v>0.26548394671898823</c:v>
                </c:pt>
                <c:pt idx="19">
                  <c:v>0.29266714418912732</c:v>
                </c:pt>
                <c:pt idx="20">
                  <c:v>0.12853601351925842</c:v>
                </c:pt>
                <c:pt idx="21">
                  <c:v>2.9053005759140833E-2</c:v>
                </c:pt>
                <c:pt idx="22">
                  <c:v>3.0521505410104718E-2</c:v>
                </c:pt>
                <c:pt idx="23">
                  <c:v>0.23948881557224233</c:v>
                </c:pt>
                <c:pt idx="24">
                  <c:v>0</c:v>
                </c:pt>
                <c:pt idx="25">
                  <c:v>0.17591876721632213</c:v>
                </c:pt>
                <c:pt idx="26">
                  <c:v>4.9001190038873793E-2</c:v>
                </c:pt>
                <c:pt idx="27">
                  <c:v>4.6879371033898803E-2</c:v>
                </c:pt>
                <c:pt idx="28">
                  <c:v>8.6480637427917159E-2</c:v>
                </c:pt>
                <c:pt idx="29">
                  <c:v>6.5401771866888447E-2</c:v>
                </c:pt>
                <c:pt idx="30">
                  <c:v>5.4808792360767807E-2</c:v>
                </c:pt>
                <c:pt idx="31">
                  <c:v>0</c:v>
                </c:pt>
                <c:pt idx="32">
                  <c:v>0</c:v>
                </c:pt>
                <c:pt idx="33">
                  <c:v>2.4082909937127733E-2</c:v>
                </c:pt>
                <c:pt idx="34">
                  <c:v>0</c:v>
                </c:pt>
                <c:pt idx="35">
                  <c:v>1.2504145273526121E-2</c:v>
                </c:pt>
                <c:pt idx="36">
                  <c:v>0</c:v>
                </c:pt>
                <c:pt idx="37">
                  <c:v>0</c:v>
                </c:pt>
                <c:pt idx="38">
                  <c:v>0</c:v>
                </c:pt>
                <c:pt idx="39">
                  <c:v>0</c:v>
                </c:pt>
              </c:numCache>
            </c:numRef>
          </c:val>
          <c:extLst>
            <c:ext xmlns:c16="http://schemas.microsoft.com/office/drawing/2014/chart" uri="{C3380CC4-5D6E-409C-BE32-E72D297353CC}">
              <c16:uniqueId val="{00000003-2093-46D4-A034-48A3B2AA5057}"/>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34785080998733425"/>
          <c:y val="0.18213621111915906"/>
          <c:w val="0.56374470720330716"/>
          <c:h val="0.17293210031938661"/>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69359385632353"/>
          <c:y val="4.1244489600090313E-2"/>
          <c:w val="0.70304440340019236"/>
          <c:h val="0.85002432760421076"/>
        </c:manualLayout>
      </c:layout>
      <c:barChart>
        <c:barDir val="bar"/>
        <c:grouping val="stacked"/>
        <c:varyColors val="0"/>
        <c:ser>
          <c:idx val="0"/>
          <c:order val="0"/>
          <c:tx>
            <c:strRef>
              <c:f>'Figure A2 Stand up for Ukraine'!$C$7</c:f>
              <c:strCache>
                <c:ptCount val="1"/>
                <c:pt idx="0">
                  <c:v>Pledged to Ukraine</c:v>
                </c:pt>
              </c:strCache>
            </c:strRef>
          </c:tx>
          <c:spPr>
            <a:solidFill>
              <a:schemeClr val="accent2"/>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Ukraine'!$C$8:$C$24</c:f>
              <c:numCache>
                <c:formatCode>General</c:formatCode>
                <c:ptCount val="17"/>
                <c:pt idx="0">
                  <c:v>0</c:v>
                </c:pt>
                <c:pt idx="1">
                  <c:v>0.6</c:v>
                </c:pt>
                <c:pt idx="2">
                  <c:v>0</c:v>
                </c:pt>
                <c:pt idx="3">
                  <c:v>0</c:v>
                </c:pt>
                <c:pt idx="4">
                  <c:v>8.3000000000000004E-2</c:v>
                </c:pt>
                <c:pt idx="5">
                  <c:v>0</c:v>
                </c:pt>
                <c:pt idx="6">
                  <c:v>0</c:v>
                </c:pt>
                <c:pt idx="7">
                  <c:v>0</c:v>
                </c:pt>
                <c:pt idx="8">
                  <c:v>0</c:v>
                </c:pt>
                <c:pt idx="9">
                  <c:v>0</c:v>
                </c:pt>
                <c:pt idx="10">
                  <c:v>0</c:v>
                </c:pt>
                <c:pt idx="11">
                  <c:v>0</c:v>
                </c:pt>
                <c:pt idx="12">
                  <c:v>7.0000000000000007E-2</c:v>
                </c:pt>
                <c:pt idx="13">
                  <c:v>5.2999999999999999E-2</c:v>
                </c:pt>
                <c:pt idx="14">
                  <c:v>0</c:v>
                </c:pt>
                <c:pt idx="15">
                  <c:v>0</c:v>
                </c:pt>
                <c:pt idx="16">
                  <c:v>0</c:v>
                </c:pt>
              </c:numCache>
            </c:numRef>
          </c:val>
          <c:extLst>
            <c:ext xmlns:c16="http://schemas.microsoft.com/office/drawing/2014/chart" uri="{C3380CC4-5D6E-409C-BE32-E72D297353CC}">
              <c16:uniqueId val="{00000000-B1C2-4406-9B15-4181AFC32BCF}"/>
            </c:ext>
          </c:extLst>
        </c:ser>
        <c:ser>
          <c:idx val="1"/>
          <c:order val="1"/>
          <c:tx>
            <c:strRef>
              <c:f>'Figure A2 Stand up for Ukraine'!$D$7</c:f>
              <c:strCache>
                <c:ptCount val="1"/>
                <c:pt idx="0">
                  <c:v>Not pledged to Ukraine</c:v>
                </c:pt>
              </c:strCache>
            </c:strRef>
          </c:tx>
          <c:spPr>
            <a:solidFill>
              <a:schemeClr val="accent6"/>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Ukraine'!$D$8:$D$24</c:f>
              <c:numCache>
                <c:formatCode>General</c:formatCode>
                <c:ptCount val="17"/>
                <c:pt idx="0">
                  <c:v>4</c:v>
                </c:pt>
                <c:pt idx="1">
                  <c:v>0.4</c:v>
                </c:pt>
                <c:pt idx="2">
                  <c:v>1</c:v>
                </c:pt>
                <c:pt idx="3">
                  <c:v>1</c:v>
                </c:pt>
                <c:pt idx="4">
                  <c:v>0.73</c:v>
                </c:pt>
                <c:pt idx="5">
                  <c:v>0.7</c:v>
                </c:pt>
                <c:pt idx="6">
                  <c:v>0.53</c:v>
                </c:pt>
                <c:pt idx="7">
                  <c:v>0.36</c:v>
                </c:pt>
                <c:pt idx="8">
                  <c:v>0.3</c:v>
                </c:pt>
                <c:pt idx="9">
                  <c:v>0.2</c:v>
                </c:pt>
                <c:pt idx="10">
                  <c:v>0.1</c:v>
                </c:pt>
                <c:pt idx="11">
                  <c:v>7.5786282682834397E-2</c:v>
                </c:pt>
                <c:pt idx="12">
                  <c:v>0</c:v>
                </c:pt>
                <c:pt idx="13">
                  <c:v>0</c:v>
                </c:pt>
                <c:pt idx="14">
                  <c:v>4.7366426676771498E-3</c:v>
                </c:pt>
                <c:pt idx="15">
                  <c:v>1E-4</c:v>
                </c:pt>
                <c:pt idx="16">
                  <c:v>5.0000000000000002E-5</c:v>
                </c:pt>
              </c:numCache>
            </c:numRef>
          </c:val>
          <c:extLst>
            <c:ext xmlns:c16="http://schemas.microsoft.com/office/drawing/2014/chart" uri="{C3380CC4-5D6E-409C-BE32-E72D297353CC}">
              <c16:uniqueId val="{00000001-B1C2-4406-9B15-4181AFC32BCF}"/>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3954703347266777"/>
          <c:y val="0.49142031439618433"/>
          <c:w val="0.32759963727453112"/>
          <c:h val="0.19825518584370505"/>
        </c:manualLayout>
      </c:layout>
      <c:overlay val="0"/>
      <c:spPr>
        <a:solidFill>
          <a:srgbClr val="FFFFFF"/>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83333333333333E-2"/>
          <c:y val="5.3912219305920092E-2"/>
          <c:w val="0.88136111111111115"/>
          <c:h val="0.80814741907261589"/>
        </c:manualLayout>
      </c:layout>
      <c:barChart>
        <c:barDir val="col"/>
        <c:grouping val="clustered"/>
        <c:varyColors val="0"/>
        <c:ser>
          <c:idx val="1"/>
          <c:order val="1"/>
          <c:tx>
            <c:strRef>
              <c:f>'Aid over time'!$B$47</c:f>
              <c:strCache>
                <c:ptCount val="1"/>
                <c:pt idx="0">
                  <c:v>Average commitment size per month</c:v>
                </c:pt>
              </c:strCache>
            </c:strRef>
          </c:tx>
          <c:spPr>
            <a:solidFill>
              <a:schemeClr val="accent2"/>
            </a:solidFill>
            <a:ln>
              <a:solidFill>
                <a:schemeClr val="tx1"/>
              </a:solidFill>
            </a:ln>
            <a:effectLst/>
          </c:spPr>
          <c:invertIfNegative val="0"/>
          <c:cat>
            <c:strRef>
              <c:f>'Aid over time'!$C$45:$I$45</c:f>
              <c:strCache>
                <c:ptCount val="7"/>
                <c:pt idx="0">
                  <c:v>January</c:v>
                </c:pt>
                <c:pt idx="1">
                  <c:v>February</c:v>
                </c:pt>
                <c:pt idx="2">
                  <c:v>March</c:v>
                </c:pt>
                <c:pt idx="3">
                  <c:v>April</c:v>
                </c:pt>
                <c:pt idx="4">
                  <c:v>May</c:v>
                </c:pt>
                <c:pt idx="5">
                  <c:v>June</c:v>
                </c:pt>
                <c:pt idx="6">
                  <c:v>July</c:v>
                </c:pt>
              </c:strCache>
            </c:strRef>
          </c:cat>
          <c:val>
            <c:numRef>
              <c:f>'Aid over time'!$C$47:$I$47</c:f>
              <c:numCache>
                <c:formatCode>General</c:formatCode>
                <c:ptCount val="7"/>
                <c:pt idx="0">
                  <c:v>7.5826803803005858E-3</c:v>
                </c:pt>
                <c:pt idx="1">
                  <c:v>0.25342057403732887</c:v>
                </c:pt>
                <c:pt idx="2">
                  <c:v>0.19289204499996629</c:v>
                </c:pt>
                <c:pt idx="3">
                  <c:v>0.34467113453061921</c:v>
                </c:pt>
                <c:pt idx="4">
                  <c:v>0.68944822634610226</c:v>
                </c:pt>
                <c:pt idx="5">
                  <c:v>0.33675538336705096</c:v>
                </c:pt>
                <c:pt idx="6">
                  <c:v>0.10598441697567781</c:v>
                </c:pt>
              </c:numCache>
            </c:numRef>
          </c:val>
          <c:extLst>
            <c:ext xmlns:c16="http://schemas.microsoft.com/office/drawing/2014/chart" uri="{C3380CC4-5D6E-409C-BE32-E72D297353CC}">
              <c16:uniqueId val="{00000001-9ED2-4E72-9275-1C4BBA67C681}"/>
            </c:ext>
          </c:extLst>
        </c:ser>
        <c:dLbls>
          <c:showLegendKey val="0"/>
          <c:showVal val="0"/>
          <c:showCatName val="0"/>
          <c:showSerName val="0"/>
          <c:showPercent val="0"/>
          <c:showBubbleSize val="0"/>
        </c:dLbls>
        <c:gapWidth val="219"/>
        <c:overlap val="-27"/>
        <c:axId val="712800736"/>
        <c:axId val="712805728"/>
        <c:extLst>
          <c:ext xmlns:c15="http://schemas.microsoft.com/office/drawing/2012/chart" uri="{02D57815-91ED-43cb-92C2-25804820EDAC}">
            <c15:filteredBarSeries>
              <c15:ser>
                <c:idx val="0"/>
                <c:order val="0"/>
                <c:tx>
                  <c:strRef>
                    <c:extLst>
                      <c:ext uri="{02D57815-91ED-43cb-92C2-25804820EDAC}">
                        <c15:formulaRef>
                          <c15:sqref>'Aid over time'!$B$46</c15:sqref>
                        </c15:formulaRef>
                      </c:ext>
                    </c:extLst>
                    <c:strCache>
                      <c:ptCount val="1"/>
                      <c:pt idx="0">
                        <c:v>Sum of commitments per month</c:v>
                      </c:pt>
                    </c:strCache>
                  </c:strRef>
                </c:tx>
                <c:spPr>
                  <a:solidFill>
                    <a:schemeClr val="accent1"/>
                  </a:solidFill>
                  <a:ln>
                    <a:noFill/>
                  </a:ln>
                  <a:effectLst/>
                </c:spPr>
                <c:invertIfNegative val="0"/>
                <c:cat>
                  <c:strRef>
                    <c:extLst>
                      <c:ext uri="{02D57815-91ED-43cb-92C2-25804820EDAC}">
                        <c15:formulaRef>
                          <c15:sqref>'Aid over time'!$C$45:$I$45</c15:sqref>
                        </c15:formulaRef>
                      </c:ext>
                    </c:extLst>
                    <c:strCache>
                      <c:ptCount val="7"/>
                      <c:pt idx="0">
                        <c:v>January</c:v>
                      </c:pt>
                      <c:pt idx="1">
                        <c:v>February</c:v>
                      </c:pt>
                      <c:pt idx="2">
                        <c:v>March</c:v>
                      </c:pt>
                      <c:pt idx="3">
                        <c:v>April</c:v>
                      </c:pt>
                      <c:pt idx="4">
                        <c:v>May</c:v>
                      </c:pt>
                      <c:pt idx="5">
                        <c:v>June</c:v>
                      </c:pt>
                      <c:pt idx="6">
                        <c:v>July</c:v>
                      </c:pt>
                    </c:strCache>
                  </c:strRef>
                </c:cat>
                <c:val>
                  <c:numRef>
                    <c:extLst>
                      <c:ext uri="{02D57815-91ED-43cb-92C2-25804820EDAC}">
                        <c15:formulaRef>
                          <c15:sqref>'Aid over time'!$C$46:$I$46</c15:sqref>
                        </c15:formulaRef>
                      </c:ext>
                    </c:extLst>
                    <c:numCache>
                      <c:formatCode>General</c:formatCode>
                      <c:ptCount val="7"/>
                      <c:pt idx="0">
                        <c:v>0.28814185445142226</c:v>
                      </c:pt>
                      <c:pt idx="1">
                        <c:v>9.6299818134184978</c:v>
                      </c:pt>
                      <c:pt idx="2">
                        <c:v>7.3298977099987193</c:v>
                      </c:pt>
                      <c:pt idx="3">
                        <c:v>13.09750311216353</c:v>
                      </c:pt>
                      <c:pt idx="4">
                        <c:v>26.199032601151885</c:v>
                      </c:pt>
                      <c:pt idx="5">
                        <c:v>12.796704567947938</c:v>
                      </c:pt>
                      <c:pt idx="6">
                        <c:v>4.0274078450757571</c:v>
                      </c:pt>
                    </c:numCache>
                  </c:numRef>
                </c:val>
                <c:extLst>
                  <c:ext xmlns:c16="http://schemas.microsoft.com/office/drawing/2014/chart" uri="{C3380CC4-5D6E-409C-BE32-E72D297353CC}">
                    <c16:uniqueId val="{00000000-9ED2-4E72-9275-1C4BBA67C681}"/>
                  </c:ext>
                </c:extLst>
              </c15:ser>
            </c15:filteredBarSeries>
          </c:ext>
        </c:extLst>
      </c:barChart>
      <c:catAx>
        <c:axId val="7128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5728"/>
        <c:crosses val="autoZero"/>
        <c:auto val="1"/>
        <c:lblAlgn val="ctr"/>
        <c:lblOffset val="100"/>
        <c:noMultiLvlLbl val="0"/>
      </c:catAx>
      <c:valAx>
        <c:axId val="71280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0736"/>
        <c:crosses val="autoZero"/>
        <c:crossBetween val="between"/>
      </c:valAx>
      <c:spPr>
        <a:noFill/>
        <a:ln>
          <a:noFill/>
        </a:ln>
        <a:effectLst/>
      </c:spPr>
    </c:plotArea>
    <c:legend>
      <c:legendPos val="b"/>
      <c:layout>
        <c:manualLayout>
          <c:xMode val="edge"/>
          <c:yMode val="edge"/>
          <c:x val="9.1226038059796496E-2"/>
          <c:y val="0.17938472505751596"/>
          <c:w val="0.50460521073363485"/>
          <c:h val="7.750675609993194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83333333333333E-2"/>
          <c:y val="5.3912219305920092E-2"/>
          <c:w val="0.88136111111111115"/>
          <c:h val="0.80814741907261589"/>
        </c:manualLayout>
      </c:layout>
      <c:barChart>
        <c:barDir val="col"/>
        <c:grouping val="clustered"/>
        <c:varyColors val="0"/>
        <c:ser>
          <c:idx val="0"/>
          <c:order val="0"/>
          <c:tx>
            <c:strRef>
              <c:f>'Aid over time'!$B$46</c:f>
              <c:strCache>
                <c:ptCount val="1"/>
                <c:pt idx="0">
                  <c:v>Sum of commitments per month</c:v>
                </c:pt>
              </c:strCache>
              <c:extLst xmlns:c15="http://schemas.microsoft.com/office/drawing/2012/chart"/>
            </c:strRef>
          </c:tx>
          <c:spPr>
            <a:solidFill>
              <a:schemeClr val="accent1"/>
            </a:solidFill>
            <a:ln>
              <a:solidFill>
                <a:schemeClr val="tx1"/>
              </a:solidFill>
            </a:ln>
            <a:effectLst/>
          </c:spPr>
          <c:invertIfNegative val="0"/>
          <c:cat>
            <c:strRef>
              <c:f>'Aid over time'!$C$45:$I$45</c:f>
              <c:strCache>
                <c:ptCount val="7"/>
                <c:pt idx="0">
                  <c:v>January</c:v>
                </c:pt>
                <c:pt idx="1">
                  <c:v>February</c:v>
                </c:pt>
                <c:pt idx="2">
                  <c:v>March</c:v>
                </c:pt>
                <c:pt idx="3">
                  <c:v>April</c:v>
                </c:pt>
                <c:pt idx="4">
                  <c:v>May</c:v>
                </c:pt>
                <c:pt idx="5">
                  <c:v>June</c:v>
                </c:pt>
                <c:pt idx="6">
                  <c:v>July</c:v>
                </c:pt>
              </c:strCache>
              <c:extLst xmlns:c15="http://schemas.microsoft.com/office/drawing/2012/chart"/>
            </c:strRef>
          </c:cat>
          <c:val>
            <c:numRef>
              <c:f>'Aid over time'!$C$46:$I$46</c:f>
              <c:numCache>
                <c:formatCode>General</c:formatCode>
                <c:ptCount val="7"/>
                <c:pt idx="0">
                  <c:v>0.28814185445142226</c:v>
                </c:pt>
                <c:pt idx="1">
                  <c:v>9.6299818134184978</c:v>
                </c:pt>
                <c:pt idx="2">
                  <c:v>7.3298977099987193</c:v>
                </c:pt>
                <c:pt idx="3">
                  <c:v>13.09750311216353</c:v>
                </c:pt>
                <c:pt idx="4">
                  <c:v>26.199032601151885</c:v>
                </c:pt>
                <c:pt idx="5">
                  <c:v>12.796704567947938</c:v>
                </c:pt>
                <c:pt idx="6">
                  <c:v>4.0274078450757571</c:v>
                </c:pt>
              </c:numCache>
              <c:extLst xmlns:c15="http://schemas.microsoft.com/office/drawing/2012/chart"/>
            </c:numRef>
          </c:val>
          <c:extLst>
            <c:ext xmlns:c16="http://schemas.microsoft.com/office/drawing/2014/chart" uri="{C3380CC4-5D6E-409C-BE32-E72D297353CC}">
              <c16:uniqueId val="{00000001-919E-49A4-BB04-6DCDCE34B01F}"/>
            </c:ext>
          </c:extLst>
        </c:ser>
        <c:dLbls>
          <c:showLegendKey val="0"/>
          <c:showVal val="0"/>
          <c:showCatName val="0"/>
          <c:showSerName val="0"/>
          <c:showPercent val="0"/>
          <c:showBubbleSize val="0"/>
        </c:dLbls>
        <c:gapWidth val="219"/>
        <c:overlap val="-27"/>
        <c:axId val="712800736"/>
        <c:axId val="712805728"/>
        <c:extLst>
          <c:ext xmlns:c15="http://schemas.microsoft.com/office/drawing/2012/chart" uri="{02D57815-91ED-43cb-92C2-25804820EDAC}">
            <c15:filteredBarSeries>
              <c15:ser>
                <c:idx val="1"/>
                <c:order val="1"/>
                <c:tx>
                  <c:strRef>
                    <c:extLst>
                      <c:ext uri="{02D57815-91ED-43cb-92C2-25804820EDAC}">
                        <c15:formulaRef>
                          <c15:sqref>'Aid over time'!$B$47</c15:sqref>
                        </c15:formulaRef>
                      </c:ext>
                    </c:extLst>
                    <c:strCache>
                      <c:ptCount val="1"/>
                      <c:pt idx="0">
                        <c:v>Average commitment size per month</c:v>
                      </c:pt>
                    </c:strCache>
                  </c:strRef>
                </c:tx>
                <c:spPr>
                  <a:solidFill>
                    <a:schemeClr val="accent2"/>
                  </a:solidFill>
                  <a:ln>
                    <a:solidFill>
                      <a:schemeClr val="tx1"/>
                    </a:solidFill>
                  </a:ln>
                  <a:effectLst/>
                </c:spPr>
                <c:invertIfNegative val="0"/>
                <c:cat>
                  <c:strRef>
                    <c:extLst>
                      <c:ext uri="{02D57815-91ED-43cb-92C2-25804820EDAC}">
                        <c15:formulaRef>
                          <c15:sqref>'Aid over time'!$C$45:$I$45</c15:sqref>
                        </c15:formulaRef>
                      </c:ext>
                    </c:extLst>
                    <c:strCache>
                      <c:ptCount val="7"/>
                      <c:pt idx="0">
                        <c:v>January</c:v>
                      </c:pt>
                      <c:pt idx="1">
                        <c:v>February</c:v>
                      </c:pt>
                      <c:pt idx="2">
                        <c:v>March</c:v>
                      </c:pt>
                      <c:pt idx="3">
                        <c:v>April</c:v>
                      </c:pt>
                      <c:pt idx="4">
                        <c:v>May</c:v>
                      </c:pt>
                      <c:pt idx="5">
                        <c:v>June</c:v>
                      </c:pt>
                      <c:pt idx="6">
                        <c:v>July</c:v>
                      </c:pt>
                    </c:strCache>
                  </c:strRef>
                </c:cat>
                <c:val>
                  <c:numRef>
                    <c:extLst>
                      <c:ext uri="{02D57815-91ED-43cb-92C2-25804820EDAC}">
                        <c15:formulaRef>
                          <c15:sqref>'Aid over time'!$C$47:$I$47</c15:sqref>
                        </c15:formulaRef>
                      </c:ext>
                    </c:extLst>
                    <c:numCache>
                      <c:formatCode>General</c:formatCode>
                      <c:ptCount val="7"/>
                      <c:pt idx="0">
                        <c:v>7.5826803803005858E-3</c:v>
                      </c:pt>
                      <c:pt idx="1">
                        <c:v>0.25342057403732887</c:v>
                      </c:pt>
                      <c:pt idx="2">
                        <c:v>0.19289204499996629</c:v>
                      </c:pt>
                      <c:pt idx="3">
                        <c:v>0.34467113453061921</c:v>
                      </c:pt>
                      <c:pt idx="4">
                        <c:v>0.68944822634610226</c:v>
                      </c:pt>
                      <c:pt idx="5">
                        <c:v>0.33675538336705096</c:v>
                      </c:pt>
                      <c:pt idx="6">
                        <c:v>0.10598441697567781</c:v>
                      </c:pt>
                    </c:numCache>
                  </c:numRef>
                </c:val>
                <c:extLst>
                  <c:ext xmlns:c16="http://schemas.microsoft.com/office/drawing/2014/chart" uri="{C3380CC4-5D6E-409C-BE32-E72D297353CC}">
                    <c16:uniqueId val="{00000000-919E-49A4-BB04-6DCDCE34B01F}"/>
                  </c:ext>
                </c:extLst>
              </c15:ser>
            </c15:filteredBarSeries>
          </c:ext>
        </c:extLst>
      </c:barChart>
      <c:catAx>
        <c:axId val="7128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5728"/>
        <c:crosses val="autoZero"/>
        <c:auto val="1"/>
        <c:lblAlgn val="ctr"/>
        <c:lblOffset val="100"/>
        <c:noMultiLvlLbl val="0"/>
      </c:catAx>
      <c:valAx>
        <c:axId val="71280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0736"/>
        <c:crosses val="autoZero"/>
        <c:crossBetween val="between"/>
      </c:valAx>
      <c:spPr>
        <a:noFill/>
        <a:ln>
          <a:noFill/>
        </a:ln>
        <a:effectLst/>
      </c:spPr>
    </c:plotArea>
    <c:legend>
      <c:legendPos val="b"/>
      <c:layout>
        <c:manualLayout>
          <c:xMode val="edge"/>
          <c:yMode val="edge"/>
          <c:x val="0.33744408709474694"/>
          <c:y val="5.4281844399079765E-2"/>
          <c:w val="0.63397401615877835"/>
          <c:h val="7.7506756099931948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83333333333333E-2"/>
          <c:y val="5.3912219305920092E-2"/>
          <c:w val="0.88136111111111115"/>
          <c:h val="0.80814741907261589"/>
        </c:manualLayout>
      </c:layout>
      <c:barChart>
        <c:barDir val="col"/>
        <c:grouping val="stacked"/>
        <c:varyColors val="0"/>
        <c:ser>
          <c:idx val="0"/>
          <c:order val="0"/>
          <c:tx>
            <c:strRef>
              <c:f>'Aid over time, Top 5 donors'!$B$2</c:f>
              <c:strCache>
                <c:ptCount val="1"/>
                <c:pt idx="0">
                  <c:v>United States</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'Aid over time, Top 5 donors'!$C$1:$J$1</c15:sqref>
                  </c15:fullRef>
                </c:ext>
              </c:extLst>
              <c:f>'Aid over time, Top 5 donors'!$C$1:$I$1</c:f>
              <c:strCache>
                <c:ptCount val="7"/>
                <c:pt idx="0">
                  <c:v>January</c:v>
                </c:pt>
                <c:pt idx="1">
                  <c:v>February</c:v>
                </c:pt>
                <c:pt idx="2">
                  <c:v>March</c:v>
                </c:pt>
                <c:pt idx="3">
                  <c:v>April</c:v>
                </c:pt>
                <c:pt idx="4">
                  <c:v>May</c:v>
                </c:pt>
                <c:pt idx="5">
                  <c:v>June</c:v>
                </c:pt>
                <c:pt idx="6">
                  <c:v>July</c:v>
                </c:pt>
              </c:strCache>
            </c:strRef>
          </c:cat>
          <c:val>
            <c:numRef>
              <c:extLst>
                <c:ext xmlns:c15="http://schemas.microsoft.com/office/drawing/2012/chart" uri="{02D57815-91ED-43cb-92C2-25804820EDAC}">
                  <c15:fullRef>
                    <c15:sqref>'Aid over time, Top 5 donors'!$C$2:$J$2</c15:sqref>
                  </c15:fullRef>
                </c:ext>
              </c:extLst>
              <c:f>'Aid over time, Top 5 donors'!$C$2:$I$2</c:f>
              <c:numCache>
                <c:formatCode>General</c:formatCode>
                <c:ptCount val="7"/>
                <c:pt idx="0">
                  <c:v>0</c:v>
                </c:pt>
                <c:pt idx="1">
                  <c:v>4.1231060606060606</c:v>
                </c:pt>
                <c:pt idx="2">
                  <c:v>5.1374053030303024</c:v>
                </c:pt>
                <c:pt idx="3">
                  <c:v>6.7366055125151512</c:v>
                </c:pt>
                <c:pt idx="4">
                  <c:v>12.412878787878787</c:v>
                </c:pt>
                <c:pt idx="5">
                  <c:v>10.416666666666666</c:v>
                </c:pt>
                <c:pt idx="6">
                  <c:v>3.7878787878787876</c:v>
                </c:pt>
              </c:numCache>
            </c:numRef>
          </c:val>
          <c:extLst>
            <c:ext xmlns:c16="http://schemas.microsoft.com/office/drawing/2014/chart" uri="{C3380CC4-5D6E-409C-BE32-E72D297353CC}">
              <c16:uniqueId val="{00000000-5552-4D77-831C-1CADD496EACB}"/>
            </c:ext>
          </c:extLst>
        </c:ser>
        <c:ser>
          <c:idx val="1"/>
          <c:order val="1"/>
          <c:tx>
            <c:strRef>
              <c:f>'Aid over time, Top 5 donors'!$B$3</c:f>
              <c:strCache>
                <c:ptCount val="1"/>
                <c:pt idx="0">
                  <c:v>EU (Commission and Council)</c:v>
                </c:pt>
              </c:strCache>
            </c:strRef>
          </c:tx>
          <c:spPr>
            <a:solidFill>
              <a:schemeClr val="accent2"/>
            </a:solidFill>
            <a:ln>
              <a:solidFill>
                <a:schemeClr val="tx1"/>
              </a:solidFill>
            </a:ln>
            <a:effectLst/>
          </c:spPr>
          <c:invertIfNegative val="0"/>
          <c:cat>
            <c:strRef>
              <c:extLst>
                <c:ext xmlns:c15="http://schemas.microsoft.com/office/drawing/2012/chart" uri="{02D57815-91ED-43cb-92C2-25804820EDAC}">
                  <c15:fullRef>
                    <c15:sqref>'Aid over time, Top 5 donors'!$C$1:$J$1</c15:sqref>
                  </c15:fullRef>
                </c:ext>
              </c:extLst>
              <c:f>'Aid over time, Top 5 donors'!$C$1:$I$1</c:f>
              <c:strCache>
                <c:ptCount val="7"/>
                <c:pt idx="0">
                  <c:v>January</c:v>
                </c:pt>
                <c:pt idx="1">
                  <c:v>February</c:v>
                </c:pt>
                <c:pt idx="2">
                  <c:v>March</c:v>
                </c:pt>
                <c:pt idx="3">
                  <c:v>April</c:v>
                </c:pt>
                <c:pt idx="4">
                  <c:v>May</c:v>
                </c:pt>
                <c:pt idx="5">
                  <c:v>June</c:v>
                </c:pt>
                <c:pt idx="6">
                  <c:v>July</c:v>
                </c:pt>
              </c:strCache>
            </c:strRef>
          </c:cat>
          <c:val>
            <c:numRef>
              <c:extLst>
                <c:ext xmlns:c15="http://schemas.microsoft.com/office/drawing/2012/chart" uri="{02D57815-91ED-43cb-92C2-25804820EDAC}">
                  <c15:fullRef>
                    <c15:sqref>'Aid over time, Top 5 donors'!$C$3:$J$3</c15:sqref>
                  </c15:fullRef>
                </c:ext>
              </c:extLst>
              <c:f>'Aid over time, Top 5 donors'!$C$3:$I$3</c:f>
              <c:numCache>
                <c:formatCode>General</c:formatCode>
                <c:ptCount val="7"/>
                <c:pt idx="0">
                  <c:v>0</c:v>
                </c:pt>
                <c:pt idx="1">
                  <c:v>1.2</c:v>
                </c:pt>
                <c:pt idx="2">
                  <c:v>0.41499999999999998</c:v>
                </c:pt>
                <c:pt idx="3">
                  <c:v>0.72</c:v>
                </c:pt>
                <c:pt idx="4">
                  <c:v>9.1999999999999993</c:v>
                </c:pt>
                <c:pt idx="5">
                  <c:v>0.20499999999999999</c:v>
                </c:pt>
                <c:pt idx="6">
                  <c:v>0</c:v>
                </c:pt>
              </c:numCache>
            </c:numRef>
          </c:val>
          <c:extLst xmlns:c15="http://schemas.microsoft.com/office/drawing/2012/chart">
            <c:ext xmlns:c16="http://schemas.microsoft.com/office/drawing/2014/chart" uri="{C3380CC4-5D6E-409C-BE32-E72D297353CC}">
              <c16:uniqueId val="{00000001-5552-4D77-831C-1CADD496EACB}"/>
            </c:ext>
          </c:extLst>
        </c:ser>
        <c:ser>
          <c:idx val="2"/>
          <c:order val="2"/>
          <c:tx>
            <c:strRef>
              <c:f>'Aid over time, Top 5 donors'!$B$4</c:f>
              <c:strCache>
                <c:ptCount val="1"/>
                <c:pt idx="0">
                  <c:v>United Kingdom</c:v>
                </c:pt>
              </c:strCache>
            </c:strRef>
          </c:tx>
          <c:spPr>
            <a:solidFill>
              <a:schemeClr val="accent3"/>
            </a:solidFill>
            <a:ln>
              <a:solidFill>
                <a:schemeClr val="tx1"/>
              </a:solidFill>
            </a:ln>
            <a:effectLst/>
          </c:spPr>
          <c:invertIfNegative val="0"/>
          <c:cat>
            <c:strRef>
              <c:extLst>
                <c:ext xmlns:c15="http://schemas.microsoft.com/office/drawing/2012/chart" uri="{02D57815-91ED-43cb-92C2-25804820EDAC}">
                  <c15:fullRef>
                    <c15:sqref>'Aid over time, Top 5 donors'!$C$1:$J$1</c15:sqref>
                  </c15:fullRef>
                </c:ext>
              </c:extLst>
              <c:f>'Aid over time, Top 5 donors'!$C$1:$I$1</c:f>
              <c:strCache>
                <c:ptCount val="7"/>
                <c:pt idx="0">
                  <c:v>January</c:v>
                </c:pt>
                <c:pt idx="1">
                  <c:v>February</c:v>
                </c:pt>
                <c:pt idx="2">
                  <c:v>March</c:v>
                </c:pt>
                <c:pt idx="3">
                  <c:v>April</c:v>
                </c:pt>
                <c:pt idx="4">
                  <c:v>May</c:v>
                </c:pt>
                <c:pt idx="5">
                  <c:v>June</c:v>
                </c:pt>
                <c:pt idx="6">
                  <c:v>July</c:v>
                </c:pt>
              </c:strCache>
            </c:strRef>
          </c:cat>
          <c:val>
            <c:numRef>
              <c:extLst>
                <c:ext xmlns:c15="http://schemas.microsoft.com/office/drawing/2012/chart" uri="{02D57815-91ED-43cb-92C2-25804820EDAC}">
                  <c15:fullRef>
                    <c15:sqref>'Aid over time, Top 5 donors'!$C$4:$J$4</c15:sqref>
                  </c15:fullRef>
                </c:ext>
              </c:extLst>
              <c:f>'Aid over time, Top 5 donors'!$C$4:$I$4</c:f>
              <c:numCache>
                <c:formatCode>General</c:formatCode>
                <c:ptCount val="7"/>
                <c:pt idx="0">
                  <c:v>0</c:v>
                </c:pt>
                <c:pt idx="1">
                  <c:v>0.79445179374810604</c:v>
                </c:pt>
                <c:pt idx="2">
                  <c:v>0.93769953050399557</c:v>
                </c:pt>
                <c:pt idx="3">
                  <c:v>1.4251946856146254</c:v>
                </c:pt>
                <c:pt idx="4">
                  <c:v>1.5625353190404241</c:v>
                </c:pt>
                <c:pt idx="5">
                  <c:v>1.3986340007925593</c:v>
                </c:pt>
                <c:pt idx="6">
                  <c:v>0</c:v>
                </c:pt>
              </c:numCache>
            </c:numRef>
          </c:val>
          <c:extLst>
            <c:ext xmlns:c16="http://schemas.microsoft.com/office/drawing/2014/chart" uri="{C3380CC4-5D6E-409C-BE32-E72D297353CC}">
              <c16:uniqueId val="{00000002-5552-4D77-831C-1CADD496EACB}"/>
            </c:ext>
          </c:extLst>
        </c:ser>
        <c:ser>
          <c:idx val="3"/>
          <c:order val="3"/>
          <c:tx>
            <c:strRef>
              <c:f>'Aid over time, Top 5 donors'!$B$5</c:f>
              <c:strCache>
                <c:ptCount val="1"/>
                <c:pt idx="0">
                  <c:v>Germany</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'Aid over time, Top 5 donors'!$C$1:$J$1</c15:sqref>
                  </c15:fullRef>
                </c:ext>
              </c:extLst>
              <c:f>'Aid over time, Top 5 donors'!$C$1:$I$1</c:f>
              <c:strCache>
                <c:ptCount val="7"/>
                <c:pt idx="0">
                  <c:v>January</c:v>
                </c:pt>
                <c:pt idx="1">
                  <c:v>February</c:v>
                </c:pt>
                <c:pt idx="2">
                  <c:v>March</c:v>
                </c:pt>
                <c:pt idx="3">
                  <c:v>April</c:v>
                </c:pt>
                <c:pt idx="4">
                  <c:v>May</c:v>
                </c:pt>
                <c:pt idx="5">
                  <c:v>June</c:v>
                </c:pt>
                <c:pt idx="6">
                  <c:v>July</c:v>
                </c:pt>
              </c:strCache>
            </c:strRef>
          </c:cat>
          <c:val>
            <c:numRef>
              <c:extLst>
                <c:ext xmlns:c15="http://schemas.microsoft.com/office/drawing/2012/chart" uri="{02D57815-91ED-43cb-92C2-25804820EDAC}">
                  <c15:fullRef>
                    <c15:sqref>'Aid over time, Top 5 donors'!$C$5:$J$5</c15:sqref>
                  </c15:fullRef>
                </c:ext>
              </c:extLst>
              <c:f>'Aid over time, Top 5 donors'!$C$5:$I$5</c:f>
              <c:numCache>
                <c:formatCode>General</c:formatCode>
                <c:ptCount val="7"/>
                <c:pt idx="0">
                  <c:v>0</c:v>
                </c:pt>
                <c:pt idx="1">
                  <c:v>0</c:v>
                </c:pt>
                <c:pt idx="2">
                  <c:v>0</c:v>
                </c:pt>
                <c:pt idx="3">
                  <c:v>1.64</c:v>
                </c:pt>
                <c:pt idx="4">
                  <c:v>1.2749999999999999</c:v>
                </c:pt>
                <c:pt idx="5">
                  <c:v>0</c:v>
                </c:pt>
                <c:pt idx="6">
                  <c:v>0.23952905719696968</c:v>
                </c:pt>
              </c:numCache>
            </c:numRef>
          </c:val>
          <c:extLst>
            <c:ext xmlns:c16="http://schemas.microsoft.com/office/drawing/2014/chart" uri="{C3380CC4-5D6E-409C-BE32-E72D297353CC}">
              <c16:uniqueId val="{00000003-5552-4D77-831C-1CADD496EACB}"/>
            </c:ext>
          </c:extLst>
        </c:ser>
        <c:ser>
          <c:idx val="4"/>
          <c:order val="4"/>
          <c:tx>
            <c:strRef>
              <c:f>'Aid over time, Top 5 donors'!$B$6</c:f>
              <c:strCache>
                <c:ptCount val="1"/>
                <c:pt idx="0">
                  <c:v>Canada</c:v>
                </c:pt>
              </c:strCache>
            </c:strRef>
          </c:tx>
          <c:spPr>
            <a:solidFill>
              <a:srgbClr val="00B050"/>
            </a:solidFill>
            <a:ln>
              <a:solidFill>
                <a:schemeClr val="tx1"/>
              </a:solidFill>
            </a:ln>
            <a:effectLst/>
          </c:spPr>
          <c:invertIfNegative val="0"/>
          <c:cat>
            <c:strRef>
              <c:extLst>
                <c:ext xmlns:c15="http://schemas.microsoft.com/office/drawing/2012/chart" uri="{02D57815-91ED-43cb-92C2-25804820EDAC}">
                  <c15:fullRef>
                    <c15:sqref>'Aid over time, Top 5 donors'!$C$1:$J$1</c15:sqref>
                  </c15:fullRef>
                </c:ext>
              </c:extLst>
              <c:f>'Aid over time, Top 5 donors'!$C$1:$I$1</c:f>
              <c:strCache>
                <c:ptCount val="7"/>
                <c:pt idx="0">
                  <c:v>January</c:v>
                </c:pt>
                <c:pt idx="1">
                  <c:v>February</c:v>
                </c:pt>
                <c:pt idx="2">
                  <c:v>March</c:v>
                </c:pt>
                <c:pt idx="3">
                  <c:v>April</c:v>
                </c:pt>
                <c:pt idx="4">
                  <c:v>May</c:v>
                </c:pt>
                <c:pt idx="5">
                  <c:v>June</c:v>
                </c:pt>
                <c:pt idx="6">
                  <c:v>July</c:v>
                </c:pt>
              </c:strCache>
            </c:strRef>
          </c:cat>
          <c:val>
            <c:numRef>
              <c:extLst>
                <c:ext xmlns:c15="http://schemas.microsoft.com/office/drawing/2012/chart" uri="{02D57815-91ED-43cb-92C2-25804820EDAC}">
                  <c15:fullRef>
                    <c15:sqref>'Aid over time, Top 5 donors'!$C$6:$J$6</c15:sqref>
                  </c15:fullRef>
                </c:ext>
              </c:extLst>
              <c:f>'Aid over time, Top 5 donors'!$C$6:$I$6</c:f>
              <c:numCache>
                <c:formatCode>General</c:formatCode>
                <c:ptCount val="7"/>
                <c:pt idx="0">
                  <c:v>0.28814185445142226</c:v>
                </c:pt>
                <c:pt idx="1">
                  <c:v>0.40391716369457403</c:v>
                </c:pt>
                <c:pt idx="2">
                  <c:v>8.3492090686603751E-2</c:v>
                </c:pt>
                <c:pt idx="3">
                  <c:v>1.2017037618519888</c:v>
                </c:pt>
                <c:pt idx="4">
                  <c:v>0.22312523088289618</c:v>
                </c:pt>
                <c:pt idx="5">
                  <c:v>0.40989291159684904</c:v>
                </c:pt>
                <c:pt idx="6">
                  <c:v>0</c:v>
                </c:pt>
              </c:numCache>
            </c:numRef>
          </c:val>
          <c:extLst>
            <c:ext xmlns:c16="http://schemas.microsoft.com/office/drawing/2014/chart" uri="{C3380CC4-5D6E-409C-BE32-E72D297353CC}">
              <c16:uniqueId val="{00000004-5552-4D77-831C-1CADD496EACB}"/>
            </c:ext>
          </c:extLst>
        </c:ser>
        <c:dLbls>
          <c:showLegendKey val="0"/>
          <c:showVal val="0"/>
          <c:showCatName val="0"/>
          <c:showSerName val="0"/>
          <c:showPercent val="0"/>
          <c:showBubbleSize val="0"/>
        </c:dLbls>
        <c:gapWidth val="219"/>
        <c:overlap val="100"/>
        <c:axId val="712800736"/>
        <c:axId val="712805728"/>
        <c:extLst/>
      </c:barChart>
      <c:catAx>
        <c:axId val="7128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5728"/>
        <c:crosses val="autoZero"/>
        <c:auto val="1"/>
        <c:lblAlgn val="ctr"/>
        <c:lblOffset val="100"/>
        <c:noMultiLvlLbl val="0"/>
      </c:catAx>
      <c:valAx>
        <c:axId val="71280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12800736"/>
        <c:crosses val="autoZero"/>
        <c:crossBetween val="between"/>
      </c:valAx>
      <c:spPr>
        <a:noFill/>
        <a:ln>
          <a:noFill/>
        </a:ln>
        <a:effectLst/>
      </c:spPr>
    </c:plotArea>
    <c:legend>
      <c:legendPos val="b"/>
      <c:layout>
        <c:manualLayout>
          <c:xMode val="edge"/>
          <c:yMode val="edge"/>
          <c:x val="0.11120968724580697"/>
          <c:y val="0.1069567415184213"/>
          <c:w val="0.40159561610633049"/>
          <c:h val="0.38466310229739803"/>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7346864404641"/>
          <c:y val="2.664341982752582E-2"/>
          <c:w val="0.82578770458537387"/>
          <c:h val="0.94156885161080517"/>
        </c:manualLayout>
      </c:layout>
      <c:barChart>
        <c:barDir val="bar"/>
        <c:grouping val="stacked"/>
        <c:varyColors val="0"/>
        <c:ser>
          <c:idx val="0"/>
          <c:order val="0"/>
          <c:tx>
            <c:strRef>
              <c:f>'Figure 2 Type of Aid'!$C$7</c:f>
              <c:strCache>
                <c:ptCount val="1"/>
                <c:pt idx="0">
                  <c:v>Financial</c:v>
                </c:pt>
              </c:strCache>
            </c:strRef>
          </c:tx>
          <c:spPr>
            <a:solidFill>
              <a:srgbClr val="0070C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Poland</c:v>
                </c:pt>
                <c:pt idx="5">
                  <c:v>Canada</c:v>
                </c:pt>
                <c:pt idx="6">
                  <c:v>France</c:v>
                </c:pt>
                <c:pt idx="7">
                  <c:v>Japan</c:v>
                </c:pt>
                <c:pt idx="8">
                  <c:v>Norway</c:v>
                </c:pt>
                <c:pt idx="9">
                  <c:v>Italy</c:v>
                </c:pt>
                <c:pt idx="10">
                  <c:v>Czech Republic</c:v>
                </c:pt>
                <c:pt idx="11">
                  <c:v>Sweden</c:v>
                </c:pt>
                <c:pt idx="12">
                  <c:v>Denmark</c:v>
                </c:pt>
                <c:pt idx="13">
                  <c:v>Portugal</c:v>
                </c:pt>
                <c:pt idx="14">
                  <c:v>Estonia</c:v>
                </c:pt>
                <c:pt idx="15">
                  <c:v>Greece</c:v>
                </c:pt>
                <c:pt idx="16">
                  <c:v>Latvia</c:v>
                </c:pt>
                <c:pt idx="17">
                  <c:v>Australia</c:v>
                </c:pt>
                <c:pt idx="18">
                  <c:v>Slovakia</c:v>
                </c:pt>
                <c:pt idx="19">
                  <c:v>Belgium</c:v>
                </c:pt>
                <c:pt idx="20">
                  <c:v>Netherlands</c:v>
                </c:pt>
                <c:pt idx="21">
                  <c:v>Lithuania</c:v>
                </c:pt>
                <c:pt idx="22">
                  <c:v>Finland</c:v>
                </c:pt>
                <c:pt idx="23">
                  <c:v>Spain</c:v>
                </c:pt>
                <c:pt idx="24">
                  <c:v>Ireland</c:v>
                </c:pt>
                <c:pt idx="25">
                  <c:v>Switzerland</c:v>
                </c:pt>
                <c:pt idx="26">
                  <c:v>Austria</c:v>
                </c:pt>
                <c:pt idx="27">
                  <c:v>Luxembourg</c:v>
                </c:pt>
                <c:pt idx="28">
                  <c:v>Hungary</c:v>
                </c:pt>
                <c:pt idx="29">
                  <c:v>South Korea</c:v>
                </c:pt>
                <c:pt idx="30">
                  <c:v>Croatia</c:v>
                </c:pt>
                <c:pt idx="31">
                  <c:v>New Zealand</c:v>
                </c:pt>
                <c:pt idx="32">
                  <c:v>Taiwan</c:v>
                </c:pt>
                <c:pt idx="33">
                  <c:v>Romania</c:v>
                </c:pt>
                <c:pt idx="34">
                  <c:v>Slovenia</c:v>
                </c:pt>
                <c:pt idx="35">
                  <c:v>Bulgaria</c:v>
                </c:pt>
                <c:pt idx="36">
                  <c:v>Cyprus</c:v>
                </c:pt>
                <c:pt idx="37">
                  <c:v>China</c:v>
                </c:pt>
                <c:pt idx="38">
                  <c:v>India</c:v>
                </c:pt>
                <c:pt idx="39">
                  <c:v>Malta</c:v>
                </c:pt>
                <c:pt idx="40">
                  <c:v>Turkey</c:v>
                </c:pt>
              </c:strCache>
            </c:strRef>
          </c:cat>
          <c:val>
            <c:numRef>
              <c:f>'Figure 2 Type of Aid'!$C$8:$C$48</c:f>
              <c:numCache>
                <c:formatCode>General</c:formatCode>
                <c:ptCount val="41"/>
                <c:pt idx="0">
                  <c:v>9.9488636363636367</c:v>
                </c:pt>
                <c:pt idx="1">
                  <c:v>12.3225</c:v>
                </c:pt>
                <c:pt idx="2">
                  <c:v>2.0766498671650888</c:v>
                </c:pt>
                <c:pt idx="3">
                  <c:v>1.1499999999999999</c:v>
                </c:pt>
                <c:pt idx="4">
                  <c:v>0.9534211711315429</c:v>
                </c:pt>
                <c:pt idx="5">
                  <c:v>1.4407092722571113</c:v>
                </c:pt>
                <c:pt idx="6">
                  <c:v>1.8</c:v>
                </c:pt>
                <c:pt idx="7">
                  <c:v>0.56818181818181812</c:v>
                </c:pt>
                <c:pt idx="8">
                  <c:v>3.3980252618906609E-2</c:v>
                </c:pt>
                <c:pt idx="9">
                  <c:v>0.31</c:v>
                </c:pt>
                <c:pt idx="10">
                  <c:v>0</c:v>
                </c:pt>
                <c:pt idx="11">
                  <c:v>9.1348484848484846E-2</c:v>
                </c:pt>
                <c:pt idx="12">
                  <c:v>0.02</c:v>
                </c:pt>
                <c:pt idx="13">
                  <c:v>0.25</c:v>
                </c:pt>
                <c:pt idx="14">
                  <c:v>0</c:v>
                </c:pt>
                <c:pt idx="15">
                  <c:v>0</c:v>
                </c:pt>
                <c:pt idx="16">
                  <c:v>1.4999999999999999E-2</c:v>
                </c:pt>
                <c:pt idx="17">
                  <c:v>0</c:v>
                </c:pt>
                <c:pt idx="18">
                  <c:v>0</c:v>
                </c:pt>
                <c:pt idx="19">
                  <c:v>0</c:v>
                </c:pt>
                <c:pt idx="20">
                  <c:v>0.08</c:v>
                </c:pt>
                <c:pt idx="21">
                  <c:v>5.0000000000000001E-3</c:v>
                </c:pt>
                <c:pt idx="22">
                  <c:v>7.4999999999999997E-2</c:v>
                </c:pt>
                <c:pt idx="23">
                  <c:v>0</c:v>
                </c:pt>
                <c:pt idx="24">
                  <c:v>0</c:v>
                </c:pt>
                <c:pt idx="25">
                  <c:v>0</c:v>
                </c:pt>
                <c:pt idx="26">
                  <c:v>0.01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01-567E-4641-BA75-DBEB8C073A6A}"/>
            </c:ext>
          </c:extLst>
        </c:ser>
        <c:ser>
          <c:idx val="1"/>
          <c:order val="1"/>
          <c:tx>
            <c:strRef>
              <c:f>'Figure 2 Type of Aid'!$D$7</c:f>
              <c:strCache>
                <c:ptCount val="1"/>
                <c:pt idx="0">
                  <c:v>Humanitarian</c:v>
                </c:pt>
              </c:strCache>
            </c:strRef>
          </c:tx>
          <c:spPr>
            <a:solidFill>
              <a:srgbClr val="92D05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Poland</c:v>
                </c:pt>
                <c:pt idx="5">
                  <c:v>Canada</c:v>
                </c:pt>
                <c:pt idx="6">
                  <c:v>France</c:v>
                </c:pt>
                <c:pt idx="7">
                  <c:v>Japan</c:v>
                </c:pt>
                <c:pt idx="8">
                  <c:v>Norway</c:v>
                </c:pt>
                <c:pt idx="9">
                  <c:v>Italy</c:v>
                </c:pt>
                <c:pt idx="10">
                  <c:v>Czech Republic</c:v>
                </c:pt>
                <c:pt idx="11">
                  <c:v>Sweden</c:v>
                </c:pt>
                <c:pt idx="12">
                  <c:v>Denmark</c:v>
                </c:pt>
                <c:pt idx="13">
                  <c:v>Portugal</c:v>
                </c:pt>
                <c:pt idx="14">
                  <c:v>Estonia</c:v>
                </c:pt>
                <c:pt idx="15">
                  <c:v>Greece</c:v>
                </c:pt>
                <c:pt idx="16">
                  <c:v>Latvia</c:v>
                </c:pt>
                <c:pt idx="17">
                  <c:v>Australia</c:v>
                </c:pt>
                <c:pt idx="18">
                  <c:v>Slovakia</c:v>
                </c:pt>
                <c:pt idx="19">
                  <c:v>Belgium</c:v>
                </c:pt>
                <c:pt idx="20">
                  <c:v>Netherlands</c:v>
                </c:pt>
                <c:pt idx="21">
                  <c:v>Lithuania</c:v>
                </c:pt>
                <c:pt idx="22">
                  <c:v>Finland</c:v>
                </c:pt>
                <c:pt idx="23">
                  <c:v>Spain</c:v>
                </c:pt>
                <c:pt idx="24">
                  <c:v>Ireland</c:v>
                </c:pt>
                <c:pt idx="25">
                  <c:v>Switzerland</c:v>
                </c:pt>
                <c:pt idx="26">
                  <c:v>Austria</c:v>
                </c:pt>
                <c:pt idx="27">
                  <c:v>Luxembourg</c:v>
                </c:pt>
                <c:pt idx="28">
                  <c:v>Hungary</c:v>
                </c:pt>
                <c:pt idx="29">
                  <c:v>South Korea</c:v>
                </c:pt>
                <c:pt idx="30">
                  <c:v>Croatia</c:v>
                </c:pt>
                <c:pt idx="31">
                  <c:v>New Zealand</c:v>
                </c:pt>
                <c:pt idx="32">
                  <c:v>Taiwan</c:v>
                </c:pt>
                <c:pt idx="33">
                  <c:v>Romania</c:v>
                </c:pt>
                <c:pt idx="34">
                  <c:v>Slovenia</c:v>
                </c:pt>
                <c:pt idx="35">
                  <c:v>Bulgaria</c:v>
                </c:pt>
                <c:pt idx="36">
                  <c:v>Cyprus</c:v>
                </c:pt>
                <c:pt idx="37">
                  <c:v>China</c:v>
                </c:pt>
                <c:pt idx="38">
                  <c:v>India</c:v>
                </c:pt>
                <c:pt idx="39">
                  <c:v>Malta</c:v>
                </c:pt>
                <c:pt idx="40">
                  <c:v>Turkey</c:v>
                </c:pt>
              </c:strCache>
            </c:strRef>
          </c:cat>
          <c:val>
            <c:numRef>
              <c:f>'Figure 2 Type of Aid'!$D$8:$D$48</c:f>
              <c:numCache>
                <c:formatCode>General</c:formatCode>
                <c:ptCount val="41"/>
                <c:pt idx="0">
                  <c:v>8.8836174242424235</c:v>
                </c:pt>
                <c:pt idx="1">
                  <c:v>1.42</c:v>
                </c:pt>
                <c:pt idx="2">
                  <c:v>0.37296906687801584</c:v>
                </c:pt>
                <c:pt idx="3">
                  <c:v>0.75</c:v>
                </c:pt>
                <c:pt idx="4">
                  <c:v>0.10284090909090909</c:v>
                </c:pt>
                <c:pt idx="5">
                  <c:v>0.25024011821204289</c:v>
                </c:pt>
                <c:pt idx="6">
                  <c:v>0.1194314393939394</c:v>
                </c:pt>
                <c:pt idx="7">
                  <c:v>9.8446969696969686E-2</c:v>
                </c:pt>
                <c:pt idx="8">
                  <c:v>3.543654915971689E-2</c:v>
                </c:pt>
                <c:pt idx="9">
                  <c:v>3.0707372159090907E-2</c:v>
                </c:pt>
                <c:pt idx="10">
                  <c:v>0.10436510548631822</c:v>
                </c:pt>
                <c:pt idx="11">
                  <c:v>8.4840029411210188E-2</c:v>
                </c:pt>
                <c:pt idx="12">
                  <c:v>3.7369609635444674E-2</c:v>
                </c:pt>
                <c:pt idx="13">
                  <c:v>1.1999999999999999E-3</c:v>
                </c:pt>
                <c:pt idx="14">
                  <c:v>4.8499989999999998E-3</c:v>
                </c:pt>
                <c:pt idx="15">
                  <c:v>0</c:v>
                </c:pt>
                <c:pt idx="16">
                  <c:v>1.3674169999999999E-3</c:v>
                </c:pt>
                <c:pt idx="17">
                  <c:v>4.7479912344777213E-2</c:v>
                </c:pt>
                <c:pt idx="18">
                  <c:v>5.0000000000000001E-3</c:v>
                </c:pt>
                <c:pt idx="19">
                  <c:v>0.1164</c:v>
                </c:pt>
                <c:pt idx="20">
                  <c:v>2.6948863636363635E-2</c:v>
                </c:pt>
                <c:pt idx="21">
                  <c:v>4.2000000000000003E-2</c:v>
                </c:pt>
                <c:pt idx="22">
                  <c:v>5.4709375000000001E-3</c:v>
                </c:pt>
                <c:pt idx="23">
                  <c:v>4.3885913212121208E-2</c:v>
                </c:pt>
                <c:pt idx="24">
                  <c:v>6.7688318181818183E-2</c:v>
                </c:pt>
                <c:pt idx="25">
                  <c:v>5.8622374206155348E-2</c:v>
                </c:pt>
                <c:pt idx="26">
                  <c:v>4.5133901515151516E-2</c:v>
                </c:pt>
                <c:pt idx="27">
                  <c:v>4.0000000000000001E-3</c:v>
                </c:pt>
                <c:pt idx="28">
                  <c:v>4.5396535278737327E-2</c:v>
                </c:pt>
                <c:pt idx="29">
                  <c:v>3.901515151515151E-2</c:v>
                </c:pt>
                <c:pt idx="30">
                  <c:v>6.4437766925785666E-3</c:v>
                </c:pt>
                <c:pt idx="31">
                  <c:v>2.4019696150843692E-3</c:v>
                </c:pt>
                <c:pt idx="32">
                  <c:v>1.1837121212121207E-2</c:v>
                </c:pt>
                <c:pt idx="33">
                  <c:v>6.6393374717699802E-3</c:v>
                </c:pt>
                <c:pt idx="34">
                  <c:v>2.0830000000000002E-3</c:v>
                </c:pt>
                <c:pt idx="35">
                  <c:v>7.0600000000000003E-4</c:v>
                </c:pt>
                <c:pt idx="36">
                  <c:v>2.3939393939393936E-3</c:v>
                </c:pt>
                <c:pt idx="37">
                  <c:v>2.1217307665106011E-3</c:v>
                </c:pt>
                <c:pt idx="38">
                  <c:v>1.7708333333333332E-3</c:v>
                </c:pt>
                <c:pt idx="39">
                  <c:v>1.15E-3</c:v>
                </c:pt>
                <c:pt idx="40">
                  <c:v>1.8416856060606061E-4</c:v>
                </c:pt>
              </c:numCache>
            </c:numRef>
          </c:val>
          <c:extLst>
            <c:ext xmlns:c16="http://schemas.microsoft.com/office/drawing/2014/chart" uri="{C3380CC4-5D6E-409C-BE32-E72D297353CC}">
              <c16:uniqueId val="{00000003-567E-4641-BA75-DBEB8C073A6A}"/>
            </c:ext>
          </c:extLst>
        </c:ser>
        <c:ser>
          <c:idx val="2"/>
          <c:order val="2"/>
          <c:tx>
            <c:strRef>
              <c:f>'Figure 2 Type of Aid'!$E$7</c:f>
              <c:strCache>
                <c:ptCount val="1"/>
                <c:pt idx="0">
                  <c:v>Military</c:v>
                </c:pt>
              </c:strCache>
            </c:strRef>
          </c:tx>
          <c:spPr>
            <a:solidFill>
              <a:srgbClr val="C0000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Poland</c:v>
                </c:pt>
                <c:pt idx="5">
                  <c:v>Canada</c:v>
                </c:pt>
                <c:pt idx="6">
                  <c:v>France</c:v>
                </c:pt>
                <c:pt idx="7">
                  <c:v>Japan</c:v>
                </c:pt>
                <c:pt idx="8">
                  <c:v>Norway</c:v>
                </c:pt>
                <c:pt idx="9">
                  <c:v>Italy</c:v>
                </c:pt>
                <c:pt idx="10">
                  <c:v>Czech Republic</c:v>
                </c:pt>
                <c:pt idx="11">
                  <c:v>Sweden</c:v>
                </c:pt>
                <c:pt idx="12">
                  <c:v>Denmark</c:v>
                </c:pt>
                <c:pt idx="13">
                  <c:v>Portugal</c:v>
                </c:pt>
                <c:pt idx="14">
                  <c:v>Estonia</c:v>
                </c:pt>
                <c:pt idx="15">
                  <c:v>Greece</c:v>
                </c:pt>
                <c:pt idx="16">
                  <c:v>Latvia</c:v>
                </c:pt>
                <c:pt idx="17">
                  <c:v>Australia</c:v>
                </c:pt>
                <c:pt idx="18">
                  <c:v>Slovakia</c:v>
                </c:pt>
                <c:pt idx="19">
                  <c:v>Belgium</c:v>
                </c:pt>
                <c:pt idx="20">
                  <c:v>Netherlands</c:v>
                </c:pt>
                <c:pt idx="21">
                  <c:v>Lithuania</c:v>
                </c:pt>
                <c:pt idx="22">
                  <c:v>Finland</c:v>
                </c:pt>
                <c:pt idx="23">
                  <c:v>Spain</c:v>
                </c:pt>
                <c:pt idx="24">
                  <c:v>Ireland</c:v>
                </c:pt>
                <c:pt idx="25">
                  <c:v>Switzerland</c:v>
                </c:pt>
                <c:pt idx="26">
                  <c:v>Austria</c:v>
                </c:pt>
                <c:pt idx="27">
                  <c:v>Luxembourg</c:v>
                </c:pt>
                <c:pt idx="28">
                  <c:v>Hungary</c:v>
                </c:pt>
                <c:pt idx="29">
                  <c:v>South Korea</c:v>
                </c:pt>
                <c:pt idx="30">
                  <c:v>Croatia</c:v>
                </c:pt>
                <c:pt idx="31">
                  <c:v>New Zealand</c:v>
                </c:pt>
                <c:pt idx="32">
                  <c:v>Taiwan</c:v>
                </c:pt>
                <c:pt idx="33">
                  <c:v>Romania</c:v>
                </c:pt>
                <c:pt idx="34">
                  <c:v>Slovenia</c:v>
                </c:pt>
                <c:pt idx="35">
                  <c:v>Bulgaria</c:v>
                </c:pt>
                <c:pt idx="36">
                  <c:v>Cyprus</c:v>
                </c:pt>
                <c:pt idx="37">
                  <c:v>China</c:v>
                </c:pt>
                <c:pt idx="38">
                  <c:v>India</c:v>
                </c:pt>
                <c:pt idx="39">
                  <c:v>Malta</c:v>
                </c:pt>
                <c:pt idx="40">
                  <c:v>Turkey</c:v>
                </c:pt>
              </c:strCache>
            </c:strRef>
          </c:cat>
          <c:val>
            <c:numRef>
              <c:f>'Figure 2 Type of Aid'!$E$8:$E$48</c:f>
              <c:numCache>
                <c:formatCode>General</c:formatCode>
                <c:ptCount val="41"/>
                <c:pt idx="0">
                  <c:v>23.782060057969691</c:v>
                </c:pt>
                <c:pt idx="1">
                  <c:v>2</c:v>
                </c:pt>
                <c:pt idx="2">
                  <c:v>3.7678026456566056</c:v>
                </c:pt>
                <c:pt idx="3">
                  <c:v>1.4395290571969697</c:v>
                </c:pt>
                <c:pt idx="4">
                  <c:v>1.8</c:v>
                </c:pt>
                <c:pt idx="5">
                  <c:v>0.91932362269517998</c:v>
                </c:pt>
                <c:pt idx="6">
                  <c:v>0.19375000000000001</c:v>
                </c:pt>
                <c:pt idx="7">
                  <c:v>0</c:v>
                </c:pt>
                <c:pt idx="8">
                  <c:v>0.49368447972463786</c:v>
                </c:pt>
                <c:pt idx="9">
                  <c:v>0.15</c:v>
                </c:pt>
                <c:pt idx="10">
                  <c:v>0.25621643027857555</c:v>
                </c:pt>
                <c:pt idx="11">
                  <c:v>0.18246414973151129</c:v>
                </c:pt>
                <c:pt idx="12">
                  <c:v>0.26884611248521345</c:v>
                </c:pt>
                <c:pt idx="13">
                  <c:v>8.7285984848484849E-3</c:v>
                </c:pt>
                <c:pt idx="14">
                  <c:v>0.245</c:v>
                </c:pt>
                <c:pt idx="15">
                  <c:v>0.24734007386363635</c:v>
                </c:pt>
                <c:pt idx="16">
                  <c:v>0.21879999999999999</c:v>
                </c:pt>
                <c:pt idx="17">
                  <c:v>0.18533767182415831</c:v>
                </c:pt>
                <c:pt idx="18">
                  <c:v>0.16365189393939394</c:v>
                </c:pt>
                <c:pt idx="19">
                  <c:v>7.5999999999999998E-2</c:v>
                </c:pt>
                <c:pt idx="20">
                  <c:v>8.4090909090909091E-2</c:v>
                </c:pt>
                <c:pt idx="21">
                  <c:v>5.45E-2</c:v>
                </c:pt>
                <c:pt idx="22">
                  <c:v>2.93E-2</c:v>
                </c:pt>
                <c:pt idx="23">
                  <c:v>3.7245335227272719E-2</c:v>
                </c:pt>
                <c:pt idx="24">
                  <c:v>0</c:v>
                </c:pt>
                <c:pt idx="25">
                  <c:v>0</c:v>
                </c:pt>
                <c:pt idx="26">
                  <c:v>3.3860407670454539E-3</c:v>
                </c:pt>
                <c:pt idx="27">
                  <c:v>0.05</c:v>
                </c:pt>
                <c:pt idx="28">
                  <c:v>0</c:v>
                </c:pt>
                <c:pt idx="29">
                  <c:v>3.3901515151515149E-3</c:v>
                </c:pt>
                <c:pt idx="30">
                  <c:v>1.6477310477709121E-2</c:v>
                </c:pt>
                <c:pt idx="31">
                  <c:v>1.3818429492297321E-2</c:v>
                </c:pt>
                <c:pt idx="32">
                  <c:v>0</c:v>
                </c:pt>
                <c:pt idx="33">
                  <c:v>3.0000000000000001E-3</c:v>
                </c:pt>
                <c:pt idx="34">
                  <c:v>6.628787878787879E-3</c:v>
                </c:pt>
                <c:pt idx="35">
                  <c:v>3.5984848484848482E-3</c:v>
                </c:pt>
                <c:pt idx="36">
                  <c:v>0</c:v>
                </c:pt>
                <c:pt idx="37">
                  <c:v>0</c:v>
                </c:pt>
                <c:pt idx="38">
                  <c:v>0</c:v>
                </c:pt>
                <c:pt idx="39">
                  <c:v>0</c:v>
                </c:pt>
                <c:pt idx="40">
                  <c:v>0</c:v>
                </c:pt>
              </c:numCache>
            </c:numRef>
          </c:val>
          <c:extLst>
            <c:ext xmlns:c16="http://schemas.microsoft.com/office/drawing/2014/chart" uri="{C3380CC4-5D6E-409C-BE32-E72D297353CC}">
              <c16:uniqueId val="{00000005-567E-4641-BA75-DBEB8C073A6A}"/>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43896749119725659"/>
          <c:y val="0.21136960900133561"/>
          <c:w val="0.22441000045299089"/>
          <c:h val="0.14485265239849607"/>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584218619057877"/>
          <c:y val="3.0176255643321336E-2"/>
          <c:w val="0.83140962142435038"/>
          <c:h val="0.9253293984008456"/>
        </c:manualLayout>
      </c:layout>
      <c:barChart>
        <c:barDir val="bar"/>
        <c:grouping val="stacked"/>
        <c:varyColors val="0"/>
        <c:ser>
          <c:idx val="0"/>
          <c:order val="0"/>
          <c:tx>
            <c:strRef>
              <c:f>'Figure 3 Ranking as % of GDP'!$C$7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3 Ranking as % of GDP'!$B$8:$B$47</c:f>
              <c:strCache>
                <c:ptCount val="40"/>
                <c:pt idx="0">
                  <c:v>Estonia</c:v>
                </c:pt>
                <c:pt idx="1">
                  <c:v>Latvia</c:v>
                </c:pt>
                <c:pt idx="2">
                  <c:v>Poland</c:v>
                </c:pt>
                <c:pt idx="3">
                  <c:v>United Kingdom</c:v>
                </c:pt>
                <c:pt idx="4">
                  <c:v>United States</c:v>
                </c:pt>
                <c:pt idx="5">
                  <c:v>Lithuania</c:v>
                </c:pt>
                <c:pt idx="6">
                  <c:v>Slovakia</c:v>
                </c:pt>
                <c:pt idx="7">
                  <c:v>Canada</c:v>
                </c:pt>
                <c:pt idx="8">
                  <c:v>Norway</c:v>
                </c:pt>
                <c:pt idx="9">
                  <c:v>Czech Republic</c:v>
                </c:pt>
                <c:pt idx="10">
                  <c:v>Greece</c:v>
                </c:pt>
                <c:pt idx="11">
                  <c:v>Portugal</c:v>
                </c:pt>
                <c:pt idx="12">
                  <c:v>Denmark</c:v>
                </c:pt>
                <c:pt idx="13">
                  <c:v>Germany</c:v>
                </c:pt>
                <c:pt idx="14">
                  <c:v>France</c:v>
                </c:pt>
                <c:pt idx="15">
                  <c:v>Luxembourg</c:v>
                </c:pt>
                <c:pt idx="16">
                  <c:v>Sweden</c:v>
                </c:pt>
                <c:pt idx="17">
                  <c:v>Finland</c:v>
                </c:pt>
                <c:pt idx="18">
                  <c:v>Croatia</c:v>
                </c:pt>
                <c:pt idx="19">
                  <c:v>Belgium</c:v>
                </c:pt>
                <c:pt idx="20">
                  <c:v>Hungary</c:v>
                </c:pt>
                <c:pt idx="21">
                  <c:v>Italy</c:v>
                </c:pt>
                <c:pt idx="22">
                  <c:v>Netherlands</c:v>
                </c:pt>
                <c:pt idx="23">
                  <c:v>Australia</c:v>
                </c:pt>
                <c:pt idx="24">
                  <c:v>Slovenia</c:v>
                </c:pt>
                <c:pt idx="25">
                  <c:v>Ireland</c:v>
                </c:pt>
                <c:pt idx="26">
                  <c:v>Austria</c:v>
                </c:pt>
                <c:pt idx="27">
                  <c:v>Japan</c:v>
                </c:pt>
                <c:pt idx="28">
                  <c:v>Cyprus</c:v>
                </c:pt>
                <c:pt idx="29">
                  <c:v>Malta</c:v>
                </c:pt>
                <c:pt idx="30">
                  <c:v>Switzerland</c:v>
                </c:pt>
                <c:pt idx="31">
                  <c:v>New Zealand</c:v>
                </c:pt>
                <c:pt idx="32">
                  <c:v>Spain</c:v>
                </c:pt>
                <c:pt idx="33">
                  <c:v>Bulgaria</c:v>
                </c:pt>
                <c:pt idx="34">
                  <c:v>Romania</c:v>
                </c:pt>
                <c:pt idx="35">
                  <c:v>South Korea</c:v>
                </c:pt>
                <c:pt idx="36">
                  <c:v>Taiwan</c:v>
                </c:pt>
                <c:pt idx="37">
                  <c:v>India</c:v>
                </c:pt>
                <c:pt idx="38">
                  <c:v>Turkey</c:v>
                </c:pt>
                <c:pt idx="39">
                  <c:v>China</c:v>
                </c:pt>
              </c:strCache>
            </c:strRef>
          </c:cat>
          <c:val>
            <c:numRef>
              <c:f>'Figure 3 Ranking as % of GDP'!$C$8:$C$47</c:f>
              <c:numCache>
                <c:formatCode>0.00</c:formatCode>
                <c:ptCount val="40"/>
                <c:pt idx="0">
                  <c:v>0.86081273274739001</c:v>
                </c:pt>
                <c:pt idx="1">
                  <c:v>0.73674439959035609</c:v>
                </c:pt>
                <c:pt idx="2">
                  <c:v>0.50554636366421735</c:v>
                </c:pt>
                <c:pt idx="3">
                  <c:v>0.23790084532895767</c:v>
                </c:pt>
                <c:pt idx="4">
                  <c:v>0.21477063422911147</c:v>
                </c:pt>
                <c:pt idx="5">
                  <c:v>0.18954865124491221</c:v>
                </c:pt>
                <c:pt idx="6">
                  <c:v>0.16933732524909542</c:v>
                </c:pt>
                <c:pt idx="7">
                  <c:v>0.16752212744448169</c:v>
                </c:pt>
                <c:pt idx="8">
                  <c:v>0.16417385807762389</c:v>
                </c:pt>
                <c:pt idx="9">
                  <c:v>0.15520304766791065</c:v>
                </c:pt>
                <c:pt idx="10">
                  <c:v>0.13831696526918708</c:v>
                </c:pt>
                <c:pt idx="11">
                  <c:v>0.1201040522624147</c:v>
                </c:pt>
                <c:pt idx="12">
                  <c:v>9.674204988249431E-2</c:v>
                </c:pt>
                <c:pt idx="13">
                  <c:v>9.1683909963377233E-2</c:v>
                </c:pt>
                <c:pt idx="14">
                  <c:v>8.4838404674404108E-2</c:v>
                </c:pt>
                <c:pt idx="15">
                  <c:v>7.7739013999811618E-2</c:v>
                </c:pt>
                <c:pt idx="16">
                  <c:v>6.9978413803567049E-2</c:v>
                </c:pt>
                <c:pt idx="17">
                  <c:v>4.2997156139826562E-2</c:v>
                </c:pt>
                <c:pt idx="18">
                  <c:v>4.2313057024944506E-2</c:v>
                </c:pt>
                <c:pt idx="19">
                  <c:v>3.8932644343097386E-2</c:v>
                </c:pt>
                <c:pt idx="20">
                  <c:v>3.0767743553780924E-2</c:v>
                </c:pt>
                <c:pt idx="21">
                  <c:v>2.7436035105537462E-2</c:v>
                </c:pt>
                <c:pt idx="22">
                  <c:v>2.2075242152728405E-2</c:v>
                </c:pt>
                <c:pt idx="23">
                  <c:v>1.8515489654462123E-2</c:v>
                </c:pt>
                <c:pt idx="24">
                  <c:v>1.7166850200867487E-2</c:v>
                </c:pt>
                <c:pt idx="25">
                  <c:v>1.6783449208596608E-2</c:v>
                </c:pt>
                <c:pt idx="26">
                  <c:v>1.4263323934555743E-2</c:v>
                </c:pt>
                <c:pt idx="27">
                  <c:v>1.3918417337942888E-2</c:v>
                </c:pt>
                <c:pt idx="28">
                  <c:v>1.0271141059577086E-2</c:v>
                </c:pt>
                <c:pt idx="29">
                  <c:v>8.2909025368359396E-3</c:v>
                </c:pt>
                <c:pt idx="30">
                  <c:v>8.2293636405019362E-3</c:v>
                </c:pt>
                <c:pt idx="31">
                  <c:v>8.1294126439654876E-3</c:v>
                </c:pt>
                <c:pt idx="32">
                  <c:v>6.685573566609428E-3</c:v>
                </c:pt>
                <c:pt idx="33">
                  <c:v>6.5039039094326829E-3</c:v>
                </c:pt>
                <c:pt idx="34">
                  <c:v>4.0926835375548901E-3</c:v>
                </c:pt>
                <c:pt idx="35">
                  <c:v>2.7339956500066873E-3</c:v>
                </c:pt>
                <c:pt idx="36">
                  <c:v>2.0419231322120718E-3</c:v>
                </c:pt>
                <c:pt idx="37">
                  <c:v>7.029427083072261E-5</c:v>
                </c:pt>
                <c:pt idx="38">
                  <c:v>2.70130838967487E-5</c:v>
                </c:pt>
                <c:pt idx="39">
                  <c:v>1.5218288885473542E-5</c:v>
                </c:pt>
              </c:numCache>
            </c:numRef>
          </c:val>
          <c:extLst>
            <c:ext xmlns:c16="http://schemas.microsoft.com/office/drawing/2014/chart" uri="{C3380CC4-5D6E-409C-BE32-E72D297353CC}">
              <c16:uniqueId val="{00000001-2317-4DDD-BF28-F18A2360D8DB}"/>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47472876543031162"/>
          <c:y val="0.27491150354333288"/>
          <c:w val="0.30389470569303689"/>
          <c:h val="3.6337931803534E-2"/>
        </c:manualLayout>
      </c:layout>
      <c:overlay val="0"/>
      <c:spPr>
        <a:solidFill>
          <a:schemeClr val="bg1"/>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1662195003402349"/>
          <c:y val="2.0056069633631563E-2"/>
          <c:w val="0.76151971744272706"/>
          <c:h val="0.9388705608879182"/>
        </c:manualLayout>
      </c:layout>
      <c:barChart>
        <c:barDir val="bar"/>
        <c:grouping val="stacked"/>
        <c:varyColors val="0"/>
        <c:ser>
          <c:idx val="0"/>
          <c:order val="0"/>
          <c:tx>
            <c:strRef>
              <c:f>'Figure 4 Ranking as % with EU'!$C$7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4 Ranking as % with EU'!$B$8:$B$47</c:f>
              <c:strCache>
                <c:ptCount val="40"/>
                <c:pt idx="0">
                  <c:v>Estonia</c:v>
                </c:pt>
                <c:pt idx="1">
                  <c:v>Latvia</c:v>
                </c:pt>
                <c:pt idx="2">
                  <c:v>Poland</c:v>
                </c:pt>
                <c:pt idx="3">
                  <c:v>Slovakia</c:v>
                </c:pt>
                <c:pt idx="4">
                  <c:v>Lithuania</c:v>
                </c:pt>
                <c:pt idx="5">
                  <c:v>Greece</c:v>
                </c:pt>
                <c:pt idx="6">
                  <c:v>Czech Republic</c:v>
                </c:pt>
                <c:pt idx="7">
                  <c:v>United Kingdom</c:v>
                </c:pt>
                <c:pt idx="8">
                  <c:v>Portugal</c:v>
                </c:pt>
                <c:pt idx="9">
                  <c:v>Denmark</c:v>
                </c:pt>
                <c:pt idx="10">
                  <c:v>United States</c:v>
                </c:pt>
                <c:pt idx="11">
                  <c:v>France</c:v>
                </c:pt>
                <c:pt idx="12">
                  <c:v>Germany</c:v>
                </c:pt>
                <c:pt idx="13">
                  <c:v>Sweden</c:v>
                </c:pt>
                <c:pt idx="14">
                  <c:v>Canada</c:v>
                </c:pt>
                <c:pt idx="15">
                  <c:v>Norway</c:v>
                </c:pt>
                <c:pt idx="16">
                  <c:v>Croatia</c:v>
                </c:pt>
                <c:pt idx="17">
                  <c:v>Belgium</c:v>
                </c:pt>
                <c:pt idx="18">
                  <c:v>Netherlands</c:v>
                </c:pt>
                <c:pt idx="19">
                  <c:v>Spain</c:v>
                </c:pt>
                <c:pt idx="20">
                  <c:v>Hungary</c:v>
                </c:pt>
                <c:pt idx="21">
                  <c:v>Finland</c:v>
                </c:pt>
                <c:pt idx="22">
                  <c:v>Luxembourg</c:v>
                </c:pt>
                <c:pt idx="23">
                  <c:v>Italy</c:v>
                </c:pt>
                <c:pt idx="24">
                  <c:v>Bulgaria</c:v>
                </c:pt>
                <c:pt idx="25">
                  <c:v>Slovenia</c:v>
                </c:pt>
                <c:pt idx="26">
                  <c:v>Austria</c:v>
                </c:pt>
                <c:pt idx="27">
                  <c:v>Cyprus</c:v>
                </c:pt>
                <c:pt idx="28">
                  <c:v>Romania</c:v>
                </c:pt>
                <c:pt idx="29">
                  <c:v>Malta</c:v>
                </c:pt>
                <c:pt idx="30">
                  <c:v>Ireland</c:v>
                </c:pt>
                <c:pt idx="31">
                  <c:v>Australia</c:v>
                </c:pt>
                <c:pt idx="32">
                  <c:v>Japan</c:v>
                </c:pt>
                <c:pt idx="33">
                  <c:v>Switzerland</c:v>
                </c:pt>
                <c:pt idx="34">
                  <c:v>New Zealand</c:v>
                </c:pt>
                <c:pt idx="35">
                  <c:v>South Korea</c:v>
                </c:pt>
                <c:pt idx="36">
                  <c:v>Taiwan</c:v>
                </c:pt>
                <c:pt idx="37">
                  <c:v>India</c:v>
                </c:pt>
                <c:pt idx="38">
                  <c:v>Turkey</c:v>
                </c:pt>
                <c:pt idx="39">
                  <c:v>China</c:v>
                </c:pt>
              </c:strCache>
            </c:strRef>
          </c:cat>
          <c:val>
            <c:numRef>
              <c:f>'Figure 4 Ranking as % with EU'!$C$8:$C$47</c:f>
              <c:numCache>
                <c:formatCode>0.00</c:formatCode>
                <c:ptCount val="40"/>
                <c:pt idx="0">
                  <c:v>0.86081273274739001</c:v>
                </c:pt>
                <c:pt idx="1">
                  <c:v>0.73674439959035609</c:v>
                </c:pt>
                <c:pt idx="2">
                  <c:v>0.50554636366421735</c:v>
                </c:pt>
                <c:pt idx="3">
                  <c:v>0.16933732524909542</c:v>
                </c:pt>
                <c:pt idx="4">
                  <c:v>0.18954865124491221</c:v>
                </c:pt>
                <c:pt idx="5">
                  <c:v>0.13831696526918708</c:v>
                </c:pt>
                <c:pt idx="6">
                  <c:v>0.15520304766791065</c:v>
                </c:pt>
                <c:pt idx="7">
                  <c:v>0.23790084532895767</c:v>
                </c:pt>
                <c:pt idx="8">
                  <c:v>0.1201040522624147</c:v>
                </c:pt>
                <c:pt idx="9">
                  <c:v>9.674204988249431E-2</c:v>
                </c:pt>
                <c:pt idx="10">
                  <c:v>0.21477063422911147</c:v>
                </c:pt>
                <c:pt idx="11">
                  <c:v>8.4838404674404108E-2</c:v>
                </c:pt>
                <c:pt idx="12">
                  <c:v>9.1683909963377233E-2</c:v>
                </c:pt>
                <c:pt idx="13">
                  <c:v>6.9978413803567049E-2</c:v>
                </c:pt>
                <c:pt idx="14">
                  <c:v>0.16752212744448169</c:v>
                </c:pt>
                <c:pt idx="15">
                  <c:v>0.16417385807762389</c:v>
                </c:pt>
                <c:pt idx="16">
                  <c:v>4.2313057024944506E-2</c:v>
                </c:pt>
                <c:pt idx="17">
                  <c:v>3.8932644343097386E-2</c:v>
                </c:pt>
                <c:pt idx="18">
                  <c:v>2.2075242152728405E-2</c:v>
                </c:pt>
                <c:pt idx="19">
                  <c:v>6.685573566609428E-3</c:v>
                </c:pt>
                <c:pt idx="20">
                  <c:v>3.0767743553780924E-2</c:v>
                </c:pt>
                <c:pt idx="21">
                  <c:v>4.2997156139826562E-2</c:v>
                </c:pt>
                <c:pt idx="22">
                  <c:v>7.7739013999811618E-2</c:v>
                </c:pt>
                <c:pt idx="23">
                  <c:v>2.7436035105537462E-2</c:v>
                </c:pt>
                <c:pt idx="24">
                  <c:v>6.5039039094326829E-3</c:v>
                </c:pt>
                <c:pt idx="25">
                  <c:v>1.7166850200867487E-2</c:v>
                </c:pt>
                <c:pt idx="26">
                  <c:v>1.4263323934555743E-2</c:v>
                </c:pt>
                <c:pt idx="27">
                  <c:v>1.0271141059577086E-2</c:v>
                </c:pt>
                <c:pt idx="28">
                  <c:v>4.0926835375548901E-3</c:v>
                </c:pt>
                <c:pt idx="29">
                  <c:v>8.2909025368359396E-3</c:v>
                </c:pt>
                <c:pt idx="30">
                  <c:v>1.6783449208596608E-2</c:v>
                </c:pt>
                <c:pt idx="31">
                  <c:v>1.8515489654462123E-2</c:v>
                </c:pt>
                <c:pt idx="32">
                  <c:v>1.3918417337942888E-2</c:v>
                </c:pt>
                <c:pt idx="33">
                  <c:v>8.2293636405019362E-3</c:v>
                </c:pt>
                <c:pt idx="34">
                  <c:v>8.1294126439654876E-3</c:v>
                </c:pt>
                <c:pt idx="35">
                  <c:v>2.7339956500066873E-3</c:v>
                </c:pt>
                <c:pt idx="36">
                  <c:v>2.0419231322120718E-3</c:v>
                </c:pt>
                <c:pt idx="37">
                  <c:v>7.029427083072261E-5</c:v>
                </c:pt>
                <c:pt idx="38">
                  <c:v>2.70130838967487E-5</c:v>
                </c:pt>
                <c:pt idx="39">
                  <c:v>1.5218288885473542E-5</c:v>
                </c:pt>
              </c:numCache>
            </c:numRef>
          </c:val>
          <c:extLst>
            <c:ext xmlns:c16="http://schemas.microsoft.com/office/drawing/2014/chart" uri="{C3380CC4-5D6E-409C-BE32-E72D297353CC}">
              <c16:uniqueId val="{00000001-D943-4AE8-8D06-4F0FEAED122E}"/>
            </c:ext>
          </c:extLst>
        </c:ser>
        <c:ser>
          <c:idx val="1"/>
          <c:order val="1"/>
          <c:tx>
            <c:strRef>
              <c:f>'Figure 4 Ranking as % with EU'!$D$7</c:f>
              <c:strCache>
                <c:ptCount val="1"/>
                <c:pt idx="0">
                  <c:v>Share EU aid (incl. MFA Program, EPF and EIB), percent of GDP</c:v>
                </c:pt>
              </c:strCache>
            </c:strRef>
          </c:tx>
          <c:spPr>
            <a:solidFill>
              <a:schemeClr val="accent2">
                <a:lumMod val="75000"/>
              </a:schemeClr>
            </a:solidFill>
            <a:ln>
              <a:solidFill>
                <a:schemeClr val="tx1"/>
              </a:solidFill>
            </a:ln>
            <a:effectLst/>
          </c:spPr>
          <c:invertIfNegative val="0"/>
          <c:cat>
            <c:strRef>
              <c:f>'Figure 4 Ranking as % with EU'!$B$8:$B$47</c:f>
              <c:strCache>
                <c:ptCount val="40"/>
                <c:pt idx="0">
                  <c:v>Estonia</c:v>
                </c:pt>
                <c:pt idx="1">
                  <c:v>Latvia</c:v>
                </c:pt>
                <c:pt idx="2">
                  <c:v>Poland</c:v>
                </c:pt>
                <c:pt idx="3">
                  <c:v>Slovakia</c:v>
                </c:pt>
                <c:pt idx="4">
                  <c:v>Lithuania</c:v>
                </c:pt>
                <c:pt idx="5">
                  <c:v>Greece</c:v>
                </c:pt>
                <c:pt idx="6">
                  <c:v>Czech Republic</c:v>
                </c:pt>
                <c:pt idx="7">
                  <c:v>United Kingdom</c:v>
                </c:pt>
                <c:pt idx="8">
                  <c:v>Portugal</c:v>
                </c:pt>
                <c:pt idx="9">
                  <c:v>Denmark</c:v>
                </c:pt>
                <c:pt idx="10">
                  <c:v>United States</c:v>
                </c:pt>
                <c:pt idx="11">
                  <c:v>France</c:v>
                </c:pt>
                <c:pt idx="12">
                  <c:v>Germany</c:v>
                </c:pt>
                <c:pt idx="13">
                  <c:v>Sweden</c:v>
                </c:pt>
                <c:pt idx="14">
                  <c:v>Canada</c:v>
                </c:pt>
                <c:pt idx="15">
                  <c:v>Norway</c:v>
                </c:pt>
                <c:pt idx="16">
                  <c:v>Croatia</c:v>
                </c:pt>
                <c:pt idx="17">
                  <c:v>Belgium</c:v>
                </c:pt>
                <c:pt idx="18">
                  <c:v>Netherlands</c:v>
                </c:pt>
                <c:pt idx="19">
                  <c:v>Spain</c:v>
                </c:pt>
                <c:pt idx="20">
                  <c:v>Hungary</c:v>
                </c:pt>
                <c:pt idx="21">
                  <c:v>Finland</c:v>
                </c:pt>
                <c:pt idx="22">
                  <c:v>Luxembourg</c:v>
                </c:pt>
                <c:pt idx="23">
                  <c:v>Italy</c:v>
                </c:pt>
                <c:pt idx="24">
                  <c:v>Bulgaria</c:v>
                </c:pt>
                <c:pt idx="25">
                  <c:v>Slovenia</c:v>
                </c:pt>
                <c:pt idx="26">
                  <c:v>Austria</c:v>
                </c:pt>
                <c:pt idx="27">
                  <c:v>Cyprus</c:v>
                </c:pt>
                <c:pt idx="28">
                  <c:v>Romania</c:v>
                </c:pt>
                <c:pt idx="29">
                  <c:v>Malta</c:v>
                </c:pt>
                <c:pt idx="30">
                  <c:v>Ireland</c:v>
                </c:pt>
                <c:pt idx="31">
                  <c:v>Australia</c:v>
                </c:pt>
                <c:pt idx="32">
                  <c:v>Japan</c:v>
                </c:pt>
                <c:pt idx="33">
                  <c:v>Switzerland</c:v>
                </c:pt>
                <c:pt idx="34">
                  <c:v>New Zealand</c:v>
                </c:pt>
                <c:pt idx="35">
                  <c:v>South Korea</c:v>
                </c:pt>
                <c:pt idx="36">
                  <c:v>Taiwan</c:v>
                </c:pt>
                <c:pt idx="37">
                  <c:v>India</c:v>
                </c:pt>
                <c:pt idx="38">
                  <c:v>Turkey</c:v>
                </c:pt>
                <c:pt idx="39">
                  <c:v>China</c:v>
                </c:pt>
              </c:strCache>
            </c:strRef>
          </c:cat>
          <c:val>
            <c:numRef>
              <c:f>'Figure 4 Ranking as % with EU'!$D$8:$D$47</c:f>
              <c:numCache>
                <c:formatCode>0.00</c:formatCode>
                <c:ptCount val="40"/>
                <c:pt idx="0">
                  <c:v>0.10009684763717641</c:v>
                </c:pt>
                <c:pt idx="1">
                  <c:v>9.5619318631889411E-2</c:v>
                </c:pt>
                <c:pt idx="2">
                  <c:v>0.11641613380043592</c:v>
                </c:pt>
                <c:pt idx="3">
                  <c:v>0.12905840675204339</c:v>
                </c:pt>
                <c:pt idx="4">
                  <c:v>9.1508467795705956E-2</c:v>
                </c:pt>
                <c:pt idx="5">
                  <c:v>0.12415658032490079</c:v>
                </c:pt>
                <c:pt idx="6">
                  <c:v>9.5067243793328732E-2</c:v>
                </c:pt>
                <c:pt idx="7">
                  <c:v>0</c:v>
                </c:pt>
                <c:pt idx="8">
                  <c:v>0.10047546589774736</c:v>
                </c:pt>
                <c:pt idx="9">
                  <c:v>0.11825527068429367</c:v>
                </c:pt>
                <c:pt idx="10">
                  <c:v>0</c:v>
                </c:pt>
                <c:pt idx="11">
                  <c:v>0.10888184686400326</c:v>
                </c:pt>
                <c:pt idx="12">
                  <c:v>8.9163534778704825E-2</c:v>
                </c:pt>
                <c:pt idx="13">
                  <c:v>0.1041994492973369</c:v>
                </c:pt>
                <c:pt idx="14">
                  <c:v>0</c:v>
                </c:pt>
                <c:pt idx="15">
                  <c:v>0</c:v>
                </c:pt>
                <c:pt idx="16">
                  <c:v>0.12073375411805691</c:v>
                </c:pt>
                <c:pt idx="17">
                  <c:v>0.11797241795625504</c:v>
                </c:pt>
                <c:pt idx="18">
                  <c:v>0.13257796319668591</c:v>
                </c:pt>
                <c:pt idx="19">
                  <c:v>0.14734977798397417</c:v>
                </c:pt>
                <c:pt idx="20">
                  <c:v>0.1192298813725599</c:v>
                </c:pt>
                <c:pt idx="21">
                  <c:v>0.10398977151574143</c:v>
                </c:pt>
                <c:pt idx="22">
                  <c:v>6.7488075576048537E-2</c:v>
                </c:pt>
                <c:pt idx="23">
                  <c:v>0.11520809320480166</c:v>
                </c:pt>
                <c:pt idx="24">
                  <c:v>0.13066877353642994</c:v>
                </c:pt>
                <c:pt idx="25">
                  <c:v>0.10800243775892569</c:v>
                </c:pt>
                <c:pt idx="26">
                  <c:v>0.11016571853018985</c:v>
                </c:pt>
                <c:pt idx="27">
                  <c:v>0.10332716263225165</c:v>
                </c:pt>
                <c:pt idx="28">
                  <c:v>0.10168250004645384</c:v>
                </c:pt>
                <c:pt idx="29">
                  <c:v>9.0148391103689426E-2</c:v>
                </c:pt>
                <c:pt idx="30">
                  <c:v>7.256738358204097E-2</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D943-4AE8-8D06-4F0FEAED122E}"/>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43166607745460389"/>
          <c:y val="0.33857948325644771"/>
          <c:w val="0.43519958352313398"/>
          <c:h val="0.16258768439028537"/>
        </c:manualLayout>
      </c:layout>
      <c:overlay val="0"/>
      <c:spPr>
        <a:solidFill>
          <a:sysClr val="window" lastClr="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4823044686635"/>
          <c:y val="1.4074447230952877E-2"/>
          <c:w val="0.82472750125184413"/>
          <c:h val="0.94124085444144956"/>
        </c:manualLayout>
      </c:layout>
      <c:barChart>
        <c:barDir val="bar"/>
        <c:grouping val="stacked"/>
        <c:varyColors val="0"/>
        <c:ser>
          <c:idx val="0"/>
          <c:order val="0"/>
          <c:tx>
            <c:strRef>
              <c:f>'Figure 5 Military Aid by type'!$C$7</c:f>
              <c:strCache>
                <c:ptCount val="1"/>
                <c:pt idx="0">
                  <c:v>Weapons and equipment (specific items committed)</c:v>
                </c:pt>
              </c:strCache>
            </c:strRef>
          </c:tx>
          <c:spPr>
            <a:solidFill>
              <a:schemeClr val="accent2"/>
            </a:solidFill>
            <a:ln>
              <a:solidFill>
                <a:schemeClr val="tx1"/>
              </a:solidFill>
            </a:ln>
            <a:effectLst/>
          </c:spPr>
          <c:invertIfNegative val="0"/>
          <c:cat>
            <c:strRef>
              <c:f>'Figure 5 Military Aid by type'!$B$8:$B$27</c:f>
              <c:strCache>
                <c:ptCount val="20"/>
                <c:pt idx="0">
                  <c:v>United States</c:v>
                </c:pt>
                <c:pt idx="1">
                  <c:v>United Kingdom</c:v>
                </c:pt>
                <c:pt idx="2">
                  <c:v>Poland</c:v>
                </c:pt>
                <c:pt idx="3">
                  <c:v>Germany</c:v>
                </c:pt>
                <c:pt idx="4">
                  <c:v>Canada</c:v>
                </c:pt>
                <c:pt idx="5">
                  <c:v>Norway</c:v>
                </c:pt>
                <c:pt idx="6">
                  <c:v>Denmark</c:v>
                </c:pt>
                <c:pt idx="7">
                  <c:v>Czech Republic</c:v>
                </c:pt>
                <c:pt idx="8">
                  <c:v>Greece</c:v>
                </c:pt>
                <c:pt idx="9">
                  <c:v>Estonia</c:v>
                </c:pt>
                <c:pt idx="10">
                  <c:v>Latvia</c:v>
                </c:pt>
                <c:pt idx="11">
                  <c:v>Australia</c:v>
                </c:pt>
                <c:pt idx="12">
                  <c:v>Sweden</c:v>
                </c:pt>
                <c:pt idx="13">
                  <c:v>Slovakia</c:v>
                </c:pt>
                <c:pt idx="14">
                  <c:v>France</c:v>
                </c:pt>
                <c:pt idx="15">
                  <c:v>Italy</c:v>
                </c:pt>
                <c:pt idx="16">
                  <c:v>Netherlands</c:v>
                </c:pt>
                <c:pt idx="17">
                  <c:v>Belgium</c:v>
                </c:pt>
                <c:pt idx="18">
                  <c:v>Lithuania</c:v>
                </c:pt>
                <c:pt idx="19">
                  <c:v>Luxembourg</c:v>
                </c:pt>
              </c:strCache>
            </c:strRef>
          </c:cat>
          <c:val>
            <c:numRef>
              <c:f>'Figure 5 Military Aid by type'!$C$8:$C$27</c:f>
              <c:numCache>
                <c:formatCode>General</c:formatCode>
                <c:ptCount val="20"/>
                <c:pt idx="0">
                  <c:v>6.3708799922424184</c:v>
                </c:pt>
                <c:pt idx="1">
                  <c:v>1.1051816336566063</c:v>
                </c:pt>
                <c:pt idx="2">
                  <c:v>1.8</c:v>
                </c:pt>
                <c:pt idx="3">
                  <c:v>0.6751290571969697</c:v>
                </c:pt>
                <c:pt idx="4">
                  <c:v>0.91932362269517987</c:v>
                </c:pt>
                <c:pt idx="5">
                  <c:v>0.45484990530303021</c:v>
                </c:pt>
                <c:pt idx="6">
                  <c:v>0.26884611248521345</c:v>
                </c:pt>
                <c:pt idx="7">
                  <c:v>0.25621643027857555</c:v>
                </c:pt>
                <c:pt idx="8">
                  <c:v>0.24734007386363635</c:v>
                </c:pt>
                <c:pt idx="9">
                  <c:v>0.245</c:v>
                </c:pt>
                <c:pt idx="10">
                  <c:v>0.21879999999999999</c:v>
                </c:pt>
                <c:pt idx="11">
                  <c:v>0.18533767182415833</c:v>
                </c:pt>
                <c:pt idx="12">
                  <c:v>7.5188645876003296E-2</c:v>
                </c:pt>
                <c:pt idx="13">
                  <c:v>0.16365189393939392</c:v>
                </c:pt>
                <c:pt idx="14">
                  <c:v>0.19375000000000001</c:v>
                </c:pt>
                <c:pt idx="15">
                  <c:v>0.15</c:v>
                </c:pt>
                <c:pt idx="16">
                  <c:v>8.4090909090909091E-2</c:v>
                </c:pt>
                <c:pt idx="17">
                  <c:v>7.5999999999999998E-2</c:v>
                </c:pt>
                <c:pt idx="18">
                  <c:v>5.45E-2</c:v>
                </c:pt>
                <c:pt idx="19">
                  <c:v>0.05</c:v>
                </c:pt>
              </c:numCache>
            </c:numRef>
          </c:val>
          <c:extLst>
            <c:ext xmlns:c16="http://schemas.microsoft.com/office/drawing/2014/chart" uri="{C3380CC4-5D6E-409C-BE32-E72D297353CC}">
              <c16:uniqueId val="{00000001-6BDE-4AC9-9143-833479749912}"/>
            </c:ext>
          </c:extLst>
        </c:ser>
        <c:ser>
          <c:idx val="1"/>
          <c:order val="1"/>
          <c:tx>
            <c:strRef>
              <c:f>'Figure 5 Military Aid by type'!$D$7</c:f>
              <c:strCache>
                <c:ptCount val="1"/>
                <c:pt idx="0">
                  <c:v>Financial aid with military purpose (e.g. to finance future weapon purchase)</c:v>
                </c:pt>
              </c:strCache>
            </c:strRef>
          </c:tx>
          <c:spPr>
            <a:solidFill>
              <a:schemeClr val="accent1">
                <a:lumMod val="75000"/>
              </a:schemeClr>
            </a:solidFill>
            <a:ln>
              <a:solidFill>
                <a:schemeClr val="tx1"/>
              </a:solidFill>
            </a:ln>
            <a:effectLst/>
          </c:spPr>
          <c:invertIfNegative val="0"/>
          <c:cat>
            <c:strRef>
              <c:f>'Figure 5 Military Aid by type'!$B$8:$B$27</c:f>
              <c:strCache>
                <c:ptCount val="20"/>
                <c:pt idx="0">
                  <c:v>United States</c:v>
                </c:pt>
                <c:pt idx="1">
                  <c:v>United Kingdom</c:v>
                </c:pt>
                <c:pt idx="2">
                  <c:v>Poland</c:v>
                </c:pt>
                <c:pt idx="3">
                  <c:v>Germany</c:v>
                </c:pt>
                <c:pt idx="4">
                  <c:v>Canada</c:v>
                </c:pt>
                <c:pt idx="5">
                  <c:v>Norway</c:v>
                </c:pt>
                <c:pt idx="6">
                  <c:v>Denmark</c:v>
                </c:pt>
                <c:pt idx="7">
                  <c:v>Czech Republic</c:v>
                </c:pt>
                <c:pt idx="8">
                  <c:v>Greece</c:v>
                </c:pt>
                <c:pt idx="9">
                  <c:v>Estonia</c:v>
                </c:pt>
                <c:pt idx="10">
                  <c:v>Latvia</c:v>
                </c:pt>
                <c:pt idx="11">
                  <c:v>Australia</c:v>
                </c:pt>
                <c:pt idx="12">
                  <c:v>Sweden</c:v>
                </c:pt>
                <c:pt idx="13">
                  <c:v>Slovakia</c:v>
                </c:pt>
                <c:pt idx="14">
                  <c:v>France</c:v>
                </c:pt>
                <c:pt idx="15">
                  <c:v>Italy</c:v>
                </c:pt>
                <c:pt idx="16">
                  <c:v>Netherlands</c:v>
                </c:pt>
                <c:pt idx="17">
                  <c:v>Belgium</c:v>
                </c:pt>
                <c:pt idx="18">
                  <c:v>Lithuania</c:v>
                </c:pt>
                <c:pt idx="19">
                  <c:v>Luxembourg</c:v>
                </c:pt>
              </c:strCache>
            </c:strRef>
          </c:cat>
          <c:val>
            <c:numRef>
              <c:f>'Figure 5 Military Aid by type'!$D$8:$D$27</c:f>
              <c:numCache>
                <c:formatCode>General</c:formatCode>
                <c:ptCount val="20"/>
                <c:pt idx="0">
                  <c:v>17.411180065727272</c:v>
                </c:pt>
                <c:pt idx="1">
                  <c:v>2.6626210119999993</c:v>
                </c:pt>
                <c:pt idx="2">
                  <c:v>0</c:v>
                </c:pt>
                <c:pt idx="3">
                  <c:v>0.76439999999999997</c:v>
                </c:pt>
                <c:pt idx="4">
                  <c:v>0</c:v>
                </c:pt>
                <c:pt idx="5">
                  <c:v>3.8834574421607648E-2</c:v>
                </c:pt>
                <c:pt idx="6">
                  <c:v>0</c:v>
                </c:pt>
                <c:pt idx="7">
                  <c:v>0</c:v>
                </c:pt>
                <c:pt idx="8">
                  <c:v>0</c:v>
                </c:pt>
                <c:pt idx="9">
                  <c:v>0</c:v>
                </c:pt>
                <c:pt idx="10">
                  <c:v>0</c:v>
                </c:pt>
                <c:pt idx="11">
                  <c:v>0</c:v>
                </c:pt>
                <c:pt idx="12">
                  <c:v>0.10727550385550799</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BDE-4AC9-9143-833479749912}"/>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3266930811884316"/>
          <c:y val="0.23929866038580314"/>
          <c:w val="0.43690176525856989"/>
          <c:h val="0.15654452284373543"/>
        </c:manualLayout>
      </c:layout>
      <c:overlay val="0"/>
      <c:spPr>
        <a:solidFill>
          <a:srgbClr val="FFFFFF"/>
        </a:solidFill>
        <a:ln>
          <a:noFill/>
        </a:ln>
        <a:effectLst/>
      </c:spPr>
      <c:txPr>
        <a:bodyPr rot="0" spcFirstLastPara="1" vertOverflow="ellipsis" vert="horz" wrap="square" anchor="ctr" anchorCtr="1"/>
        <a:lstStyle/>
        <a:p>
          <a:pPr>
            <a:defRPr sz="2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97743202395139"/>
          <c:y val="1.7897272369283346E-2"/>
          <c:w val="0.79200258724674177"/>
          <c:h val="0.94156885161080517"/>
        </c:manualLayout>
      </c:layout>
      <c:barChart>
        <c:barDir val="bar"/>
        <c:grouping val="stacked"/>
        <c:varyColors val="0"/>
        <c:ser>
          <c:idx val="0"/>
          <c:order val="0"/>
          <c:tx>
            <c:strRef>
              <c:f>'Figure 6 Financial Aid'!$C$7</c:f>
              <c:strCache>
                <c:ptCount val="1"/>
                <c:pt idx="0">
                  <c:v>Loans</c:v>
                </c:pt>
              </c:strCache>
            </c:strRef>
          </c:tx>
          <c:spPr>
            <a:solidFill>
              <a:srgbClr val="0070C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Taiwan</c:v>
                </c:pt>
                <c:pt idx="18">
                  <c:v>Lithuania</c:v>
                </c:pt>
                <c:pt idx="19">
                  <c:v>Czech Republic</c:v>
                </c:pt>
              </c:strCache>
            </c:strRef>
          </c:cat>
          <c:val>
            <c:numRef>
              <c:f>'Figure 6 Financial Aid'!$C$8:$C$27</c:f>
              <c:numCache>
                <c:formatCode>General</c:formatCode>
                <c:ptCount val="20"/>
                <c:pt idx="0">
                  <c:v>12.2</c:v>
                </c:pt>
                <c:pt idx="1">
                  <c:v>0.47348484848484845</c:v>
                </c:pt>
                <c:pt idx="2">
                  <c:v>0.5827641669968997</c:v>
                </c:pt>
                <c:pt idx="3">
                  <c:v>0.8</c:v>
                </c:pt>
                <c:pt idx="4">
                  <c:v>1.4407092722571113</c:v>
                </c:pt>
                <c:pt idx="5">
                  <c:v>0.15</c:v>
                </c:pt>
                <c:pt idx="6">
                  <c:v>0</c:v>
                </c:pt>
                <c:pt idx="7">
                  <c:v>0.56818181818181812</c:v>
                </c:pt>
                <c:pt idx="8">
                  <c:v>0.2</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9082-4ED4-9BAD-CAF3B51EE262}"/>
            </c:ext>
          </c:extLst>
        </c:ser>
        <c:ser>
          <c:idx val="1"/>
          <c:order val="1"/>
          <c:tx>
            <c:strRef>
              <c:f>'Figure 6 Financial Aid'!$D$7</c:f>
              <c:strCache>
                <c:ptCount val="1"/>
                <c:pt idx="0">
                  <c:v>Grants</c:v>
                </c:pt>
              </c:strCache>
            </c:strRef>
          </c:tx>
          <c:spPr>
            <a:solidFill>
              <a:srgbClr val="92D05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Taiwan</c:v>
                </c:pt>
                <c:pt idx="18">
                  <c:v>Lithuania</c:v>
                </c:pt>
                <c:pt idx="19">
                  <c:v>Czech Republic</c:v>
                </c:pt>
              </c:strCache>
            </c:strRef>
          </c:cat>
          <c:val>
            <c:numRef>
              <c:f>'Figure 6 Financial Aid'!$D$8:$D$27</c:f>
              <c:numCache>
                <c:formatCode>General</c:formatCode>
                <c:ptCount val="20"/>
                <c:pt idx="0">
                  <c:v>0.1225</c:v>
                </c:pt>
                <c:pt idx="1">
                  <c:v>9.2386363636363633</c:v>
                </c:pt>
                <c:pt idx="2">
                  <c:v>0.64305001635271586</c:v>
                </c:pt>
                <c:pt idx="3">
                  <c:v>0</c:v>
                </c:pt>
                <c:pt idx="4">
                  <c:v>0</c:v>
                </c:pt>
                <c:pt idx="5">
                  <c:v>1</c:v>
                </c:pt>
                <c:pt idx="6">
                  <c:v>6.4514741618459824E-3</c:v>
                </c:pt>
                <c:pt idx="7">
                  <c:v>0</c:v>
                </c:pt>
                <c:pt idx="8">
                  <c:v>0.127</c:v>
                </c:pt>
                <c:pt idx="9">
                  <c:v>0.25</c:v>
                </c:pt>
                <c:pt idx="10">
                  <c:v>0.10727550385550801</c:v>
                </c:pt>
                <c:pt idx="11">
                  <c:v>0</c:v>
                </c:pt>
                <c:pt idx="12">
                  <c:v>7.4999999999999997E-2</c:v>
                </c:pt>
                <c:pt idx="13">
                  <c:v>4.6899999999999997E-2</c:v>
                </c:pt>
                <c:pt idx="14">
                  <c:v>3.3980252618906609E-2</c:v>
                </c:pt>
                <c:pt idx="15">
                  <c:v>0.02</c:v>
                </c:pt>
                <c:pt idx="16">
                  <c:v>5.0000000000000001E-3</c:v>
                </c:pt>
                <c:pt idx="17">
                  <c:v>1.1837121212121207E-2</c:v>
                </c:pt>
                <c:pt idx="18">
                  <c:v>5.0000000000000001E-3</c:v>
                </c:pt>
                <c:pt idx="19">
                  <c:v>4.0451438048622632E-4</c:v>
                </c:pt>
              </c:numCache>
            </c:numRef>
          </c:val>
          <c:extLst>
            <c:ext xmlns:c16="http://schemas.microsoft.com/office/drawing/2014/chart" uri="{C3380CC4-5D6E-409C-BE32-E72D297353CC}">
              <c16:uniqueId val="{00000003-9082-4ED4-9BAD-CAF3B51EE262}"/>
            </c:ext>
          </c:extLst>
        </c:ser>
        <c:ser>
          <c:idx val="2"/>
          <c:order val="2"/>
          <c:tx>
            <c:strRef>
              <c:f>'Figure 6 Financial Aid'!$E$7</c:f>
              <c:strCache>
                <c:ptCount val="1"/>
                <c:pt idx="0">
                  <c:v>Guarantees</c:v>
                </c:pt>
              </c:strCache>
            </c:strRef>
          </c:tx>
          <c:spPr>
            <a:solidFill>
              <a:schemeClr val="accent3">
                <a:lumMod val="60000"/>
                <a:lumOff val="40000"/>
              </a:schemeClr>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Taiwan</c:v>
                </c:pt>
                <c:pt idx="18">
                  <c:v>Lithuania</c:v>
                </c:pt>
                <c:pt idx="19">
                  <c:v>Czech Republic</c:v>
                </c:pt>
              </c:strCache>
            </c:strRef>
          </c:cat>
          <c:val>
            <c:numRef>
              <c:f>'Figure 6 Financial Aid'!$E$8:$E$27</c:f>
              <c:numCache>
                <c:formatCode>General</c:formatCode>
                <c:ptCount val="20"/>
                <c:pt idx="0">
                  <c:v>0</c:v>
                </c:pt>
                <c:pt idx="1">
                  <c:v>0.94696969696969691</c:v>
                </c:pt>
                <c:pt idx="2">
                  <c:v>0.85083568381547359</c:v>
                </c:pt>
                <c:pt idx="3">
                  <c:v>1</c:v>
                </c:pt>
                <c:pt idx="4">
                  <c:v>0</c:v>
                </c:pt>
                <c:pt idx="5">
                  <c:v>0</c:v>
                </c:pt>
                <c:pt idx="6">
                  <c:v>0</c:v>
                </c:pt>
                <c:pt idx="7">
                  <c:v>0</c:v>
                </c:pt>
                <c:pt idx="8">
                  <c:v>0</c:v>
                </c:pt>
                <c:pt idx="9">
                  <c:v>0</c:v>
                </c:pt>
                <c:pt idx="10">
                  <c:v>9.1348484848484846E-2</c:v>
                </c:pt>
                <c:pt idx="11">
                  <c:v>0.08</c:v>
                </c:pt>
                <c:pt idx="12">
                  <c:v>0</c:v>
                </c:pt>
                <c:pt idx="13">
                  <c:v>0</c:v>
                </c:pt>
                <c:pt idx="14">
                  <c:v>0</c:v>
                </c:pt>
                <c:pt idx="15">
                  <c:v>0</c:v>
                </c:pt>
                <c:pt idx="16">
                  <c:v>0.01</c:v>
                </c:pt>
                <c:pt idx="17">
                  <c:v>0</c:v>
                </c:pt>
                <c:pt idx="18">
                  <c:v>0</c:v>
                </c:pt>
                <c:pt idx="19">
                  <c:v>0</c:v>
                </c:pt>
              </c:numCache>
            </c:numRef>
          </c:val>
          <c:extLst>
            <c:ext xmlns:c16="http://schemas.microsoft.com/office/drawing/2014/chart" uri="{C3380CC4-5D6E-409C-BE32-E72D297353CC}">
              <c16:uniqueId val="{00000000-08E0-BA4D-91A7-02F4E6DBECC7}"/>
            </c:ext>
          </c:extLst>
        </c:ser>
        <c:ser>
          <c:idx val="3"/>
          <c:order val="3"/>
          <c:tx>
            <c:strRef>
              <c:f>'Figure 6 Financial Aid'!$F$7</c:f>
              <c:strCache>
                <c:ptCount val="1"/>
                <c:pt idx="0">
                  <c:v>Central Bank Swap Line</c:v>
                </c:pt>
              </c:strCache>
            </c:strRef>
          </c:tx>
          <c:spPr>
            <a:solidFill>
              <a:srgbClr val="C0000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Taiwan</c:v>
                </c:pt>
                <c:pt idx="18">
                  <c:v>Lithuania</c:v>
                </c:pt>
                <c:pt idx="19">
                  <c:v>Czech Republic</c:v>
                </c:pt>
              </c:strCache>
            </c:strRef>
          </c:cat>
          <c:val>
            <c:numRef>
              <c:f>'Figure 6 Financial Aid'!$F$8:$F$27</c:f>
              <c:numCache>
                <c:formatCode>General</c:formatCode>
                <c:ptCount val="20"/>
                <c:pt idx="0">
                  <c:v>0</c:v>
                </c:pt>
                <c:pt idx="1">
                  <c:v>0</c:v>
                </c:pt>
                <c:pt idx="2">
                  <c:v>0</c:v>
                </c:pt>
                <c:pt idx="3">
                  <c:v>0</c:v>
                </c:pt>
                <c:pt idx="4">
                  <c:v>0</c:v>
                </c:pt>
                <c:pt idx="5">
                  <c:v>0</c:v>
                </c:pt>
                <c:pt idx="6">
                  <c:v>0.94696969696969691</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8E0-BA4D-91A7-02F4E6DBECC7}"/>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43240879534094478"/>
          <c:y val="0.23450525530730851"/>
          <c:w val="0.2640240397091615"/>
          <c:h val="0.24091740048485591"/>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72861522312217"/>
          <c:y val="1.7565360542949882E-2"/>
          <c:w val="0.73669246881807715"/>
          <c:h val="0.94156885161080517"/>
        </c:manualLayout>
      </c:layout>
      <c:barChart>
        <c:barDir val="bar"/>
        <c:grouping val="clustered"/>
        <c:varyColors val="0"/>
        <c:ser>
          <c:idx val="0"/>
          <c:order val="0"/>
          <c:tx>
            <c:strRef>
              <c:f>'Figure 7 Mil. in-kind, country'!$C$7</c:f>
              <c:strCache>
                <c:ptCount val="1"/>
                <c:pt idx="0">
                  <c:v>Committed military in-kind aid (disclosed commitments only)</c:v>
                </c:pt>
              </c:strCache>
            </c:strRef>
          </c:tx>
          <c:spPr>
            <a:solidFill>
              <a:srgbClr val="FF9966"/>
            </a:solidFill>
            <a:ln>
              <a:solidFill>
                <a:schemeClr val="tx1"/>
              </a:solidFill>
            </a:ln>
            <a:effectLst/>
          </c:spPr>
          <c:invertIfNegative val="0"/>
          <c:cat>
            <c:strRef>
              <c:f>'Figure 7 Mil. in-kind, country'!$B$8:$B$27</c:f>
              <c:strCache>
                <c:ptCount val="20"/>
                <c:pt idx="0">
                  <c:v>United States</c:v>
                </c:pt>
                <c:pt idx="1">
                  <c:v>Poland</c:v>
                </c:pt>
                <c:pt idx="2">
                  <c:v>United Kingdom</c:v>
                </c:pt>
                <c:pt idx="3">
                  <c:v>Canada</c:v>
                </c:pt>
                <c:pt idx="4">
                  <c:v>Norway</c:v>
                </c:pt>
                <c:pt idx="5">
                  <c:v>Germany</c:v>
                </c:pt>
                <c:pt idx="6">
                  <c:v>Estonia</c:v>
                </c:pt>
                <c:pt idx="7">
                  <c:v>Czech Republic</c:v>
                </c:pt>
                <c:pt idx="8">
                  <c:v>Latvia</c:v>
                </c:pt>
                <c:pt idx="9">
                  <c:v>Denmark</c:v>
                </c:pt>
                <c:pt idx="10">
                  <c:v>France</c:v>
                </c:pt>
                <c:pt idx="11">
                  <c:v>Italy</c:v>
                </c:pt>
                <c:pt idx="12">
                  <c:v>Australia</c:v>
                </c:pt>
                <c:pt idx="13">
                  <c:v>Lithuania</c:v>
                </c:pt>
                <c:pt idx="14">
                  <c:v>Belgium</c:v>
                </c:pt>
                <c:pt idx="15">
                  <c:v>Netherlands</c:v>
                </c:pt>
                <c:pt idx="16">
                  <c:v>Slovakia</c:v>
                </c:pt>
                <c:pt idx="17">
                  <c:v>Sweden</c:v>
                </c:pt>
                <c:pt idx="18">
                  <c:v>Luxembourg</c:v>
                </c:pt>
                <c:pt idx="19">
                  <c:v>Finland</c:v>
                </c:pt>
              </c:strCache>
            </c:strRef>
          </c:cat>
          <c:val>
            <c:numRef>
              <c:f>'Figure 7 Mil. in-kind, country'!$C$8:$C$27</c:f>
              <c:numCache>
                <c:formatCode>General</c:formatCode>
                <c:ptCount val="20"/>
                <c:pt idx="0">
                  <c:v>6.3708799922424184</c:v>
                </c:pt>
                <c:pt idx="1">
                  <c:v>1.8</c:v>
                </c:pt>
                <c:pt idx="2">
                  <c:v>1.1051816336566063</c:v>
                </c:pt>
                <c:pt idx="3">
                  <c:v>0.91932362269517987</c:v>
                </c:pt>
                <c:pt idx="4">
                  <c:v>0.45484990530303021</c:v>
                </c:pt>
                <c:pt idx="5">
                  <c:v>0.6751290571969697</c:v>
                </c:pt>
                <c:pt idx="6">
                  <c:v>0.245</c:v>
                </c:pt>
                <c:pt idx="7">
                  <c:v>0.25621643027857555</c:v>
                </c:pt>
                <c:pt idx="8">
                  <c:v>0.21879999999999999</c:v>
                </c:pt>
                <c:pt idx="9">
                  <c:v>0.26884611248521345</c:v>
                </c:pt>
                <c:pt idx="10">
                  <c:v>0.19375000000000001</c:v>
                </c:pt>
                <c:pt idx="11">
                  <c:v>0.15</c:v>
                </c:pt>
                <c:pt idx="12">
                  <c:v>0.18533767182415833</c:v>
                </c:pt>
                <c:pt idx="13">
                  <c:v>5.45E-2</c:v>
                </c:pt>
                <c:pt idx="14">
                  <c:v>7.5999999999999998E-2</c:v>
                </c:pt>
                <c:pt idx="15">
                  <c:v>8.4090909090909091E-2</c:v>
                </c:pt>
                <c:pt idx="16">
                  <c:v>0.16365189393939392</c:v>
                </c:pt>
                <c:pt idx="17">
                  <c:v>7.5188645876003296E-2</c:v>
                </c:pt>
                <c:pt idx="18">
                  <c:v>0.05</c:v>
                </c:pt>
                <c:pt idx="19">
                  <c:v>2.93E-2</c:v>
                </c:pt>
              </c:numCache>
            </c:numRef>
          </c:val>
          <c:extLst>
            <c:ext xmlns:c16="http://schemas.microsoft.com/office/drawing/2014/chart" uri="{C3380CC4-5D6E-409C-BE32-E72D297353CC}">
              <c16:uniqueId val="{00000001-33BC-4AF7-92F7-B934D74CBC4A}"/>
            </c:ext>
          </c:extLst>
        </c:ser>
        <c:ser>
          <c:idx val="1"/>
          <c:order val="1"/>
          <c:tx>
            <c:strRef>
              <c:f>'Figure 7 Mil. in-kind, country'!$D$7</c:f>
              <c:strCache>
                <c:ptCount val="1"/>
                <c:pt idx="0">
                  <c:v>Delivered military in-kind aid (disclosed deliveries only)</c:v>
                </c:pt>
              </c:strCache>
            </c:strRef>
          </c:tx>
          <c:spPr>
            <a:solidFill>
              <a:srgbClr val="C00000"/>
            </a:solidFill>
            <a:ln>
              <a:solidFill>
                <a:schemeClr val="tx1"/>
              </a:solidFill>
            </a:ln>
            <a:effectLst/>
          </c:spPr>
          <c:invertIfNegative val="0"/>
          <c:cat>
            <c:strRef>
              <c:f>'Figure 7 Mil. in-kind, country'!$B$8:$B$27</c:f>
              <c:strCache>
                <c:ptCount val="20"/>
                <c:pt idx="0">
                  <c:v>United States</c:v>
                </c:pt>
                <c:pt idx="1">
                  <c:v>Poland</c:v>
                </c:pt>
                <c:pt idx="2">
                  <c:v>United Kingdom</c:v>
                </c:pt>
                <c:pt idx="3">
                  <c:v>Canada</c:v>
                </c:pt>
                <c:pt idx="4">
                  <c:v>Norway</c:v>
                </c:pt>
                <c:pt idx="5">
                  <c:v>Germany</c:v>
                </c:pt>
                <c:pt idx="6">
                  <c:v>Estonia</c:v>
                </c:pt>
                <c:pt idx="7">
                  <c:v>Czech Republic</c:v>
                </c:pt>
                <c:pt idx="8">
                  <c:v>Latvia</c:v>
                </c:pt>
                <c:pt idx="9">
                  <c:v>Denmark</c:v>
                </c:pt>
                <c:pt idx="10">
                  <c:v>France</c:v>
                </c:pt>
                <c:pt idx="11">
                  <c:v>Italy</c:v>
                </c:pt>
                <c:pt idx="12">
                  <c:v>Australia</c:v>
                </c:pt>
                <c:pt idx="13">
                  <c:v>Lithuania</c:v>
                </c:pt>
                <c:pt idx="14">
                  <c:v>Belgium</c:v>
                </c:pt>
                <c:pt idx="15">
                  <c:v>Netherlands</c:v>
                </c:pt>
                <c:pt idx="16">
                  <c:v>Slovakia</c:v>
                </c:pt>
                <c:pt idx="17">
                  <c:v>Sweden</c:v>
                </c:pt>
                <c:pt idx="18">
                  <c:v>Luxembourg</c:v>
                </c:pt>
                <c:pt idx="19">
                  <c:v>Finland</c:v>
                </c:pt>
              </c:strCache>
            </c:strRef>
          </c:cat>
          <c:val>
            <c:numRef>
              <c:f>'Figure 7 Mil. in-kind, country'!$D$8:$D$27</c:f>
              <c:numCache>
                <c:formatCode>General</c:formatCode>
                <c:ptCount val="20"/>
                <c:pt idx="0">
                  <c:v>2.4444611401515148</c:v>
                </c:pt>
                <c:pt idx="1">
                  <c:v>1.8</c:v>
                </c:pt>
                <c:pt idx="2">
                  <c:v>1.003110598550895</c:v>
                </c:pt>
                <c:pt idx="3">
                  <c:v>0.75819317877472547</c:v>
                </c:pt>
                <c:pt idx="4">
                  <c:v>0.43643134469696965</c:v>
                </c:pt>
                <c:pt idx="5">
                  <c:v>0.26951210284090904</c:v>
                </c:pt>
                <c:pt idx="6">
                  <c:v>0.24</c:v>
                </c:pt>
                <c:pt idx="7">
                  <c:v>0.22780733936948466</c:v>
                </c:pt>
                <c:pt idx="8">
                  <c:v>0.21879999999999999</c:v>
                </c:pt>
                <c:pt idx="9">
                  <c:v>0.17429246912139459</c:v>
                </c:pt>
                <c:pt idx="10">
                  <c:v>0.16250000000000001</c:v>
                </c:pt>
                <c:pt idx="11">
                  <c:v>0.15</c:v>
                </c:pt>
                <c:pt idx="12">
                  <c:v>0.10830732452354074</c:v>
                </c:pt>
                <c:pt idx="13">
                  <c:v>4.4999999999999998E-2</c:v>
                </c:pt>
                <c:pt idx="14">
                  <c:v>7.5999999999999998E-2</c:v>
                </c:pt>
                <c:pt idx="15">
                  <c:v>7.1306818181818193E-2</c:v>
                </c:pt>
                <c:pt idx="16">
                  <c:v>0.11875189393939393</c:v>
                </c:pt>
                <c:pt idx="17">
                  <c:v>5.0490770647406549E-2</c:v>
                </c:pt>
                <c:pt idx="18">
                  <c:v>0.05</c:v>
                </c:pt>
                <c:pt idx="19">
                  <c:v>2.93E-2</c:v>
                </c:pt>
              </c:numCache>
            </c:numRef>
          </c:val>
          <c:extLst>
            <c:ext xmlns:c16="http://schemas.microsoft.com/office/drawing/2014/chart" uri="{C3380CC4-5D6E-409C-BE32-E72D297353CC}">
              <c16:uniqueId val="{00000003-33BC-4AF7-92F7-B934D74CBC4A}"/>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valAx>
      <c:spPr>
        <a:noFill/>
        <a:ln>
          <a:noFill/>
        </a:ln>
        <a:effectLst/>
      </c:spPr>
    </c:plotArea>
    <c:legend>
      <c:legendPos val="r"/>
      <c:layout>
        <c:manualLayout>
          <c:xMode val="edge"/>
          <c:yMode val="edge"/>
          <c:x val="0.41891575413372306"/>
          <c:y val="0.3321517842052627"/>
          <c:w val="0.54399983228408988"/>
          <c:h val="0.12439369044124468"/>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5108749373466"/>
          <c:y val="1.7897334296488612E-2"/>
          <c:w val="0.73669246881807715"/>
          <c:h val="0.93323783110852687"/>
        </c:manualLayout>
      </c:layout>
      <c:barChart>
        <c:barDir val="bar"/>
        <c:grouping val="clustered"/>
        <c:varyColors val="0"/>
        <c:ser>
          <c:idx val="0"/>
          <c:order val="0"/>
          <c:tx>
            <c:strRef>
              <c:f>'Figure 8 Foreign Budg. Support'!$D$7</c:f>
              <c:strCache>
                <c:ptCount val="1"/>
                <c:pt idx="0">
                  <c:v>Committed budgetary support</c:v>
                </c:pt>
              </c:strCache>
            </c:strRef>
          </c:tx>
          <c:spPr>
            <a:solidFill>
              <a:srgbClr val="0070C0"/>
            </a:solidFill>
            <a:ln>
              <a:solidFill>
                <a:sysClr val="windowText" lastClr="000000"/>
              </a:solidFill>
            </a:ln>
            <a:effectLst/>
          </c:spPr>
          <c:invertIfNegative val="0"/>
          <c:cat>
            <c:strRef>
              <c:f>'Figure 8 Foreign Budg. Support'!$B$8:$B$24</c:f>
              <c:strCache>
                <c:ptCount val="17"/>
                <c:pt idx="0">
                  <c:v>EU Institutions (MFA and EIB)</c:v>
                </c:pt>
                <c:pt idx="1">
                  <c:v>Canada</c:v>
                </c:pt>
                <c:pt idx="2">
                  <c:v>United States</c:v>
                </c:pt>
                <c:pt idx="3">
                  <c:v>Japan</c:v>
                </c:pt>
                <c:pt idx="4">
                  <c:v>France</c:v>
                </c:pt>
                <c:pt idx="5">
                  <c:v>Germany</c:v>
                </c:pt>
                <c:pt idx="6">
                  <c:v>United Kingdom</c:v>
                </c:pt>
                <c:pt idx="7">
                  <c:v>Italy</c:v>
                </c:pt>
                <c:pt idx="8">
                  <c:v>Netherlands</c:v>
                </c:pt>
                <c:pt idx="9">
                  <c:v>Sweden</c:v>
                </c:pt>
                <c:pt idx="10">
                  <c:v>Denmark</c:v>
                </c:pt>
                <c:pt idx="11">
                  <c:v>Norway</c:v>
                </c:pt>
                <c:pt idx="12">
                  <c:v>Austria</c:v>
                </c:pt>
                <c:pt idx="13">
                  <c:v>Latvia</c:v>
                </c:pt>
                <c:pt idx="14">
                  <c:v>Lithuania</c:v>
                </c:pt>
                <c:pt idx="15">
                  <c:v>Portugal</c:v>
                </c:pt>
                <c:pt idx="16">
                  <c:v>Finland</c:v>
                </c:pt>
              </c:strCache>
            </c:strRef>
          </c:cat>
          <c:val>
            <c:numRef>
              <c:f>'Figure 8 Foreign Budg. Support'!$D$8:$D$24</c:f>
              <c:numCache>
                <c:formatCode>General</c:formatCode>
                <c:ptCount val="17"/>
                <c:pt idx="0">
                  <c:v>12.32</c:v>
                </c:pt>
                <c:pt idx="1">
                  <c:v>1.4370000000000001</c:v>
                </c:pt>
                <c:pt idx="2">
                  <c:v>8.4770000000000003</c:v>
                </c:pt>
                <c:pt idx="3">
                  <c:v>0.56600000000000006</c:v>
                </c:pt>
                <c:pt idx="4">
                  <c:v>0.6</c:v>
                </c:pt>
                <c:pt idx="5">
                  <c:v>1.3</c:v>
                </c:pt>
                <c:pt idx="6">
                  <c:v>1.0129999999999999</c:v>
                </c:pt>
                <c:pt idx="7">
                  <c:v>0.31</c:v>
                </c:pt>
                <c:pt idx="8">
                  <c:v>0.08</c:v>
                </c:pt>
                <c:pt idx="9">
                  <c:v>4.7E-2</c:v>
                </c:pt>
                <c:pt idx="10">
                  <c:v>2.1999999999999999E-2</c:v>
                </c:pt>
                <c:pt idx="11">
                  <c:v>2.8999999999999998E-2</c:v>
                </c:pt>
                <c:pt idx="12">
                  <c:v>0.01</c:v>
                </c:pt>
                <c:pt idx="13">
                  <c:v>1.4999999999999999E-2</c:v>
                </c:pt>
                <c:pt idx="14">
                  <c:v>5.0000000000000001E-3</c:v>
                </c:pt>
                <c:pt idx="15">
                  <c:v>0.25</c:v>
                </c:pt>
                <c:pt idx="16">
                  <c:v>7.4999999999999997E-2</c:v>
                </c:pt>
              </c:numCache>
            </c:numRef>
          </c:val>
          <c:extLst>
            <c:ext xmlns:c16="http://schemas.microsoft.com/office/drawing/2014/chart" uri="{C3380CC4-5D6E-409C-BE32-E72D297353CC}">
              <c16:uniqueId val="{00000001-B9AC-42AA-B512-61996F98D584}"/>
            </c:ext>
          </c:extLst>
        </c:ser>
        <c:ser>
          <c:idx val="1"/>
          <c:order val="1"/>
          <c:tx>
            <c:strRef>
              <c:f>'Figure 8 Foreign Budg. Support'!$E$7</c:f>
              <c:strCache>
                <c:ptCount val="1"/>
                <c:pt idx="0">
                  <c:v>Disbursed budgetary support</c:v>
                </c:pt>
              </c:strCache>
            </c:strRef>
          </c:tx>
          <c:spPr>
            <a:solidFill>
              <a:srgbClr val="002060"/>
            </a:solidFill>
            <a:ln>
              <a:solidFill>
                <a:sysClr val="windowText" lastClr="000000"/>
              </a:solidFill>
            </a:ln>
            <a:effectLst/>
          </c:spPr>
          <c:invertIfNegative val="0"/>
          <c:cat>
            <c:strRef>
              <c:f>'Figure 8 Foreign Budg. Support'!$B$8:$B$24</c:f>
              <c:strCache>
                <c:ptCount val="17"/>
                <c:pt idx="0">
                  <c:v>EU Institutions (MFA and EIB)</c:v>
                </c:pt>
                <c:pt idx="1">
                  <c:v>Canada</c:v>
                </c:pt>
                <c:pt idx="2">
                  <c:v>United States</c:v>
                </c:pt>
                <c:pt idx="3">
                  <c:v>Japan</c:v>
                </c:pt>
                <c:pt idx="4">
                  <c:v>France</c:v>
                </c:pt>
                <c:pt idx="5">
                  <c:v>Germany</c:v>
                </c:pt>
                <c:pt idx="6">
                  <c:v>United Kingdom</c:v>
                </c:pt>
                <c:pt idx="7">
                  <c:v>Italy</c:v>
                </c:pt>
                <c:pt idx="8">
                  <c:v>Netherlands</c:v>
                </c:pt>
                <c:pt idx="9">
                  <c:v>Sweden</c:v>
                </c:pt>
                <c:pt idx="10">
                  <c:v>Denmark</c:v>
                </c:pt>
                <c:pt idx="11">
                  <c:v>Norway</c:v>
                </c:pt>
                <c:pt idx="12">
                  <c:v>Austria</c:v>
                </c:pt>
                <c:pt idx="13">
                  <c:v>Latvia</c:v>
                </c:pt>
                <c:pt idx="14">
                  <c:v>Lithuania</c:v>
                </c:pt>
                <c:pt idx="15">
                  <c:v>Portugal</c:v>
                </c:pt>
                <c:pt idx="16">
                  <c:v>Finland</c:v>
                </c:pt>
              </c:strCache>
            </c:strRef>
          </c:cat>
          <c:val>
            <c:numRef>
              <c:f>'Figure 8 Foreign Budg. Support'!$E$8:$E$24</c:f>
              <c:numCache>
                <c:formatCode>General</c:formatCode>
                <c:ptCount val="17"/>
                <c:pt idx="0">
                  <c:v>2</c:v>
                </c:pt>
                <c:pt idx="1">
                  <c:v>1.1000000000000001</c:v>
                </c:pt>
                <c:pt idx="2">
                  <c:v>0.93200000000000005</c:v>
                </c:pt>
                <c:pt idx="3">
                  <c:v>0.54700000000000004</c:v>
                </c:pt>
                <c:pt idx="4">
                  <c:v>0.31</c:v>
                </c:pt>
                <c:pt idx="5">
                  <c:v>0.30499999999999999</c:v>
                </c:pt>
                <c:pt idx="6">
                  <c:v>0.12</c:v>
                </c:pt>
                <c:pt idx="7">
                  <c:v>0.11799999999999999</c:v>
                </c:pt>
                <c:pt idx="8">
                  <c:v>0.08</c:v>
                </c:pt>
                <c:pt idx="9">
                  <c:v>4.5999999999999999E-2</c:v>
                </c:pt>
                <c:pt idx="10">
                  <c:v>2.1999999999999999E-2</c:v>
                </c:pt>
                <c:pt idx="11">
                  <c:v>0.02</c:v>
                </c:pt>
                <c:pt idx="12">
                  <c:v>0.01</c:v>
                </c:pt>
                <c:pt idx="13">
                  <c:v>5.0000000000000001E-3</c:v>
                </c:pt>
                <c:pt idx="14">
                  <c:v>5.0000000000000001E-3</c:v>
                </c:pt>
                <c:pt idx="15">
                  <c:v>0</c:v>
                </c:pt>
                <c:pt idx="16">
                  <c:v>0</c:v>
                </c:pt>
              </c:numCache>
            </c:numRef>
          </c:val>
          <c:extLst>
            <c:ext xmlns:c16="http://schemas.microsoft.com/office/drawing/2014/chart" uri="{C3380CC4-5D6E-409C-BE32-E72D297353CC}">
              <c16:uniqueId val="{00000000-82AD-4251-AB7C-E6E83E1979DD}"/>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majorUnit val="1"/>
      </c:valAx>
      <c:spPr>
        <a:noFill/>
        <a:ln>
          <a:noFill/>
        </a:ln>
        <a:effectLst/>
      </c:spPr>
    </c:plotArea>
    <c:legend>
      <c:legendPos val="r"/>
      <c:layout>
        <c:manualLayout>
          <c:xMode val="edge"/>
          <c:yMode val="edge"/>
          <c:x val="0.52194936913269641"/>
          <c:y val="0.28399442384065954"/>
          <c:w val="0.31171561023452787"/>
          <c:h val="0.13930642504140234"/>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1"/>
          <c:order val="1"/>
          <c:tx>
            <c:strRef>
              <c:f>'Figure 9 Refugee Cost Estimate'!$E$7</c:f>
              <c:strCache>
                <c:ptCount val="1"/>
                <c:pt idx="0">
                  <c:v>Lower bound refugee cost estimate in € billion: assuming €250 per refugee per month (for 4 months)</c:v>
                </c:pt>
              </c:strCache>
            </c:strRef>
          </c:tx>
          <c:spPr>
            <a:solidFill>
              <a:schemeClr val="accent4">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Turkey</c:v>
                </c:pt>
                <c:pt idx="4">
                  <c:v>Italy</c:v>
                </c:pt>
                <c:pt idx="5">
                  <c:v>Spain</c:v>
                </c:pt>
                <c:pt idx="6">
                  <c:v>France</c:v>
                </c:pt>
                <c:pt idx="7">
                  <c:v>United Kingdom</c:v>
                </c:pt>
                <c:pt idx="8">
                  <c:v>Romania</c:v>
                </c:pt>
                <c:pt idx="9">
                  <c:v>Bulgaria</c:v>
                </c:pt>
                <c:pt idx="10">
                  <c:v>Slovakia</c:v>
                </c:pt>
                <c:pt idx="11">
                  <c:v>Austria</c:v>
                </c:pt>
                <c:pt idx="12">
                  <c:v>Netherlands</c:v>
                </c:pt>
                <c:pt idx="13">
                  <c:v>Lithuania</c:v>
                </c:pt>
                <c:pt idx="14">
                  <c:v>Switzerland</c:v>
                </c:pt>
                <c:pt idx="15">
                  <c:v>Belgium</c:v>
                </c:pt>
                <c:pt idx="16">
                  <c:v>Portugal</c:v>
                </c:pt>
                <c:pt idx="17">
                  <c:v>Estonia</c:v>
                </c:pt>
                <c:pt idx="18">
                  <c:v>Sweden</c:v>
                </c:pt>
                <c:pt idx="19">
                  <c:v>Ireland</c:v>
                </c:pt>
              </c:strCache>
            </c:strRef>
          </c:cat>
          <c:val>
            <c:numRef>
              <c:f>'Figure 9 Refugee Cost Estimate'!$E$8:$E$27</c:f>
              <c:numCache>
                <c:formatCode>General</c:formatCode>
                <c:ptCount val="20"/>
                <c:pt idx="0">
                  <c:v>1.194642</c:v>
                </c:pt>
                <c:pt idx="1">
                  <c:v>0.86699999999999999</c:v>
                </c:pt>
                <c:pt idx="2">
                  <c:v>0.382768</c:v>
                </c:pt>
                <c:pt idx="3">
                  <c:v>0.14499999999999999</c:v>
                </c:pt>
                <c:pt idx="4">
                  <c:v>0.14156199999999999</c:v>
                </c:pt>
                <c:pt idx="5">
                  <c:v>0.123888</c:v>
                </c:pt>
                <c:pt idx="6">
                  <c:v>8.7971999999999995E-2</c:v>
                </c:pt>
                <c:pt idx="7">
                  <c:v>8.6599999999999996E-2</c:v>
                </c:pt>
                <c:pt idx="8">
                  <c:v>8.3321000000000006E-2</c:v>
                </c:pt>
                <c:pt idx="9">
                  <c:v>8.2432000000000005E-2</c:v>
                </c:pt>
                <c:pt idx="10">
                  <c:v>7.9769999999999994E-2</c:v>
                </c:pt>
                <c:pt idx="11">
                  <c:v>7.3768E-2</c:v>
                </c:pt>
                <c:pt idx="12">
                  <c:v>6.6780000000000006E-2</c:v>
                </c:pt>
                <c:pt idx="13">
                  <c:v>5.7979000000000003E-2</c:v>
                </c:pt>
                <c:pt idx="14">
                  <c:v>5.5336000000000003E-2</c:v>
                </c:pt>
                <c:pt idx="15">
                  <c:v>4.9000000000000002E-2</c:v>
                </c:pt>
                <c:pt idx="16">
                  <c:v>4.5713999999999998E-2</c:v>
                </c:pt>
                <c:pt idx="17">
                  <c:v>4.3908999999999997E-2</c:v>
                </c:pt>
                <c:pt idx="18">
                  <c:v>4.0765000000000003E-2</c:v>
                </c:pt>
                <c:pt idx="19">
                  <c:v>3.8288000000000003E-2</c:v>
                </c:pt>
              </c:numCache>
            </c:numRef>
          </c:val>
          <c:extLst>
            <c:ext xmlns:c16="http://schemas.microsoft.com/office/drawing/2014/chart" uri="{C3380CC4-5D6E-409C-BE32-E72D297353CC}">
              <c16:uniqueId val="{00000000-7230-467C-AF26-FCBA45809A7B}"/>
            </c:ext>
          </c:extLst>
        </c:ser>
        <c:ser>
          <c:idx val="2"/>
          <c:order val="2"/>
          <c:tx>
            <c:strRef>
              <c:f>'Figure 9 Refugee Cost Estimate'!$F$7</c:f>
              <c:strCache>
                <c:ptCount val="1"/>
                <c:pt idx="0">
                  <c:v>Baseline refugee cost estimate in € billion: assuming €500 per refugee per month (for 4 months)</c:v>
                </c:pt>
              </c:strCache>
            </c:strRef>
          </c:tx>
          <c:spPr>
            <a:solidFill>
              <a:schemeClr val="accent6">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Turkey</c:v>
                </c:pt>
                <c:pt idx="4">
                  <c:v>Italy</c:v>
                </c:pt>
                <c:pt idx="5">
                  <c:v>Spain</c:v>
                </c:pt>
                <c:pt idx="6">
                  <c:v>France</c:v>
                </c:pt>
                <c:pt idx="7">
                  <c:v>United Kingdom</c:v>
                </c:pt>
                <c:pt idx="8">
                  <c:v>Romania</c:v>
                </c:pt>
                <c:pt idx="9">
                  <c:v>Bulgaria</c:v>
                </c:pt>
                <c:pt idx="10">
                  <c:v>Slovakia</c:v>
                </c:pt>
                <c:pt idx="11">
                  <c:v>Austria</c:v>
                </c:pt>
                <c:pt idx="12">
                  <c:v>Netherlands</c:v>
                </c:pt>
                <c:pt idx="13">
                  <c:v>Lithuania</c:v>
                </c:pt>
                <c:pt idx="14">
                  <c:v>Switzerland</c:v>
                </c:pt>
                <c:pt idx="15">
                  <c:v>Belgium</c:v>
                </c:pt>
                <c:pt idx="16">
                  <c:v>Portugal</c:v>
                </c:pt>
                <c:pt idx="17">
                  <c:v>Estonia</c:v>
                </c:pt>
                <c:pt idx="18">
                  <c:v>Sweden</c:v>
                </c:pt>
                <c:pt idx="19">
                  <c:v>Ireland</c:v>
                </c:pt>
              </c:strCache>
            </c:strRef>
          </c:cat>
          <c:val>
            <c:numRef>
              <c:f>'Figure 9 Refugee Cost Estimate'!$F$8:$F$27</c:f>
              <c:numCache>
                <c:formatCode>General</c:formatCode>
                <c:ptCount val="20"/>
                <c:pt idx="0">
                  <c:v>1.194642</c:v>
                </c:pt>
                <c:pt idx="1">
                  <c:v>0.86699999999999999</c:v>
                </c:pt>
                <c:pt idx="2">
                  <c:v>0.382768</c:v>
                </c:pt>
                <c:pt idx="3">
                  <c:v>0.14499999999999999</c:v>
                </c:pt>
                <c:pt idx="4">
                  <c:v>0.14156199999999999</c:v>
                </c:pt>
                <c:pt idx="5">
                  <c:v>0.123888</c:v>
                </c:pt>
                <c:pt idx="6">
                  <c:v>8.7971999999999995E-2</c:v>
                </c:pt>
                <c:pt idx="7">
                  <c:v>8.6599999999999996E-2</c:v>
                </c:pt>
                <c:pt idx="8">
                  <c:v>8.3321000000000006E-2</c:v>
                </c:pt>
                <c:pt idx="9">
                  <c:v>8.2432000000000005E-2</c:v>
                </c:pt>
                <c:pt idx="10">
                  <c:v>7.9769999999999994E-2</c:v>
                </c:pt>
                <c:pt idx="11">
                  <c:v>7.3768E-2</c:v>
                </c:pt>
                <c:pt idx="12">
                  <c:v>6.6780000000000006E-2</c:v>
                </c:pt>
                <c:pt idx="13">
                  <c:v>5.7979000000000003E-2</c:v>
                </c:pt>
                <c:pt idx="14">
                  <c:v>5.5336000000000003E-2</c:v>
                </c:pt>
                <c:pt idx="15">
                  <c:v>4.9000000000000002E-2</c:v>
                </c:pt>
                <c:pt idx="16">
                  <c:v>4.5713999999999998E-2</c:v>
                </c:pt>
                <c:pt idx="17">
                  <c:v>4.3908999999999997E-2</c:v>
                </c:pt>
                <c:pt idx="18">
                  <c:v>4.0765000000000003E-2</c:v>
                </c:pt>
                <c:pt idx="19">
                  <c:v>3.8288000000000003E-2</c:v>
                </c:pt>
              </c:numCache>
            </c:numRef>
          </c:val>
          <c:extLst>
            <c:ext xmlns:c16="http://schemas.microsoft.com/office/drawing/2014/chart" uri="{C3380CC4-5D6E-409C-BE32-E72D297353CC}">
              <c16:uniqueId val="{00000001-7230-467C-AF26-FCBA45809A7B}"/>
            </c:ext>
          </c:extLst>
        </c:ser>
        <c:ser>
          <c:idx val="3"/>
          <c:order val="3"/>
          <c:tx>
            <c:strRef>
              <c:f>'Figure 9 Refugee Cost Estimate'!$G$7</c:f>
              <c:strCache>
                <c:ptCount val="1"/>
                <c:pt idx="0">
                  <c:v>Upper bound refugee cost estimate in € billion: assuming €750 per refugee per month (for 4 months)</c:v>
                </c:pt>
              </c:strCache>
            </c:strRef>
          </c:tx>
          <c:spPr>
            <a:solidFill>
              <a:schemeClr val="accent5">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Turkey</c:v>
                </c:pt>
                <c:pt idx="4">
                  <c:v>Italy</c:v>
                </c:pt>
                <c:pt idx="5">
                  <c:v>Spain</c:v>
                </c:pt>
                <c:pt idx="6">
                  <c:v>France</c:v>
                </c:pt>
                <c:pt idx="7">
                  <c:v>United Kingdom</c:v>
                </c:pt>
                <c:pt idx="8">
                  <c:v>Romania</c:v>
                </c:pt>
                <c:pt idx="9">
                  <c:v>Bulgaria</c:v>
                </c:pt>
                <c:pt idx="10">
                  <c:v>Slovakia</c:v>
                </c:pt>
                <c:pt idx="11">
                  <c:v>Austria</c:v>
                </c:pt>
                <c:pt idx="12">
                  <c:v>Netherlands</c:v>
                </c:pt>
                <c:pt idx="13">
                  <c:v>Lithuania</c:v>
                </c:pt>
                <c:pt idx="14">
                  <c:v>Switzerland</c:v>
                </c:pt>
                <c:pt idx="15">
                  <c:v>Belgium</c:v>
                </c:pt>
                <c:pt idx="16">
                  <c:v>Portugal</c:v>
                </c:pt>
                <c:pt idx="17">
                  <c:v>Estonia</c:v>
                </c:pt>
                <c:pt idx="18">
                  <c:v>Sweden</c:v>
                </c:pt>
                <c:pt idx="19">
                  <c:v>Ireland</c:v>
                </c:pt>
              </c:strCache>
            </c:strRef>
          </c:cat>
          <c:val>
            <c:numRef>
              <c:f>'Figure 9 Refugee Cost Estimate'!$G$8:$G$27</c:f>
              <c:numCache>
                <c:formatCode>General</c:formatCode>
                <c:ptCount val="20"/>
                <c:pt idx="0">
                  <c:v>1.194642</c:v>
                </c:pt>
                <c:pt idx="1">
                  <c:v>0.86699999999999999</c:v>
                </c:pt>
                <c:pt idx="2">
                  <c:v>0.382768</c:v>
                </c:pt>
                <c:pt idx="3">
                  <c:v>0.14499999999999999</c:v>
                </c:pt>
                <c:pt idx="4">
                  <c:v>0.14156199999999999</c:v>
                </c:pt>
                <c:pt idx="5">
                  <c:v>0.123888</c:v>
                </c:pt>
                <c:pt idx="6">
                  <c:v>8.7971999999999995E-2</c:v>
                </c:pt>
                <c:pt idx="7">
                  <c:v>8.6599999999999996E-2</c:v>
                </c:pt>
                <c:pt idx="8">
                  <c:v>8.3321000000000006E-2</c:v>
                </c:pt>
                <c:pt idx="9">
                  <c:v>8.2432000000000005E-2</c:v>
                </c:pt>
                <c:pt idx="10">
                  <c:v>7.9769999999999994E-2</c:v>
                </c:pt>
                <c:pt idx="11">
                  <c:v>7.3768E-2</c:v>
                </c:pt>
                <c:pt idx="12">
                  <c:v>6.6780000000000006E-2</c:v>
                </c:pt>
                <c:pt idx="13">
                  <c:v>5.7979000000000003E-2</c:v>
                </c:pt>
                <c:pt idx="14">
                  <c:v>5.5336000000000003E-2</c:v>
                </c:pt>
                <c:pt idx="15">
                  <c:v>4.9000000000000002E-2</c:v>
                </c:pt>
                <c:pt idx="16">
                  <c:v>4.5713999999999998E-2</c:v>
                </c:pt>
                <c:pt idx="17">
                  <c:v>4.3908999999999997E-2</c:v>
                </c:pt>
                <c:pt idx="18">
                  <c:v>4.0765000000000003E-2</c:v>
                </c:pt>
                <c:pt idx="19">
                  <c:v>3.8288000000000003E-2</c:v>
                </c:pt>
              </c:numCache>
            </c:numRef>
          </c:val>
          <c:extLst>
            <c:ext xmlns:c16="http://schemas.microsoft.com/office/drawing/2014/chart" uri="{C3380CC4-5D6E-409C-BE32-E72D297353CC}">
              <c16:uniqueId val="{00000002-7230-467C-AF26-FCBA45809A7B}"/>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9 Refugee Cost Estimate'!$D$7</c15:sqref>
                        </c15:formulaRef>
                      </c:ext>
                    </c:extLst>
                    <c:strCache>
                      <c:ptCount val="1"/>
                      <c:pt idx="0">
                        <c:v>Number of Refugees (February 24, 2022 - June 28, 2022)</c:v>
                      </c:pt>
                    </c:strCache>
                  </c:strRef>
                </c:tx>
                <c:spPr>
                  <a:solidFill>
                    <a:schemeClr val="accent2"/>
                  </a:solidFill>
                  <a:ln>
                    <a:noFill/>
                  </a:ln>
                  <a:effectLst/>
                </c:spPr>
                <c:invertIfNegative val="0"/>
                <c:cat>
                  <c:strRef>
                    <c:extLst>
                      <c:ext uri="{02D57815-91ED-43cb-92C2-25804820EDAC}">
                        <c15:formulaRef>
                          <c15:sqref>'Figure 9 Refugee Cost Estimate'!$C$8:$C$27</c15:sqref>
                        </c15:formulaRef>
                      </c:ext>
                    </c:extLst>
                    <c:strCache>
                      <c:ptCount val="20"/>
                      <c:pt idx="0">
                        <c:v>Poland</c:v>
                      </c:pt>
                      <c:pt idx="1">
                        <c:v>Germany</c:v>
                      </c:pt>
                      <c:pt idx="2">
                        <c:v>Czech Republic</c:v>
                      </c:pt>
                      <c:pt idx="3">
                        <c:v>Turkey</c:v>
                      </c:pt>
                      <c:pt idx="4">
                        <c:v>Italy</c:v>
                      </c:pt>
                      <c:pt idx="5">
                        <c:v>Spain</c:v>
                      </c:pt>
                      <c:pt idx="6">
                        <c:v>France</c:v>
                      </c:pt>
                      <c:pt idx="7">
                        <c:v>United Kingdom</c:v>
                      </c:pt>
                      <c:pt idx="8">
                        <c:v>Romania</c:v>
                      </c:pt>
                      <c:pt idx="9">
                        <c:v>Bulgaria</c:v>
                      </c:pt>
                      <c:pt idx="10">
                        <c:v>Slovakia</c:v>
                      </c:pt>
                      <c:pt idx="11">
                        <c:v>Austria</c:v>
                      </c:pt>
                      <c:pt idx="12">
                        <c:v>Netherlands</c:v>
                      </c:pt>
                      <c:pt idx="13">
                        <c:v>Lithuania</c:v>
                      </c:pt>
                      <c:pt idx="14">
                        <c:v>Switzerland</c:v>
                      </c:pt>
                      <c:pt idx="15">
                        <c:v>Belgium</c:v>
                      </c:pt>
                      <c:pt idx="16">
                        <c:v>Portugal</c:v>
                      </c:pt>
                      <c:pt idx="17">
                        <c:v>Estonia</c:v>
                      </c:pt>
                      <c:pt idx="18">
                        <c:v>Sweden</c:v>
                      </c:pt>
                      <c:pt idx="19">
                        <c:v>Ireland</c:v>
                      </c:pt>
                    </c:strCache>
                  </c:strRef>
                </c:cat>
                <c:val>
                  <c:numRef>
                    <c:extLst>
                      <c:ext uri="{02D57815-91ED-43cb-92C2-25804820EDAC}">
                        <c15:formulaRef>
                          <c15:sqref>'Figure 9 Refugee Cost Estimate'!$D$8:$D$27</c15:sqref>
                        </c15:formulaRef>
                      </c:ext>
                    </c:extLst>
                    <c:numCache>
                      <c:formatCode>General</c:formatCode>
                      <c:ptCount val="20"/>
                      <c:pt idx="0">
                        <c:v>1194642</c:v>
                      </c:pt>
                      <c:pt idx="1">
                        <c:v>867000</c:v>
                      </c:pt>
                      <c:pt idx="2">
                        <c:v>382768</c:v>
                      </c:pt>
                      <c:pt idx="3">
                        <c:v>145000</c:v>
                      </c:pt>
                      <c:pt idx="4">
                        <c:v>141562</c:v>
                      </c:pt>
                      <c:pt idx="5">
                        <c:v>123888</c:v>
                      </c:pt>
                      <c:pt idx="6">
                        <c:v>87972</c:v>
                      </c:pt>
                      <c:pt idx="7">
                        <c:v>86600</c:v>
                      </c:pt>
                      <c:pt idx="8">
                        <c:v>83321</c:v>
                      </c:pt>
                      <c:pt idx="9">
                        <c:v>82432</c:v>
                      </c:pt>
                      <c:pt idx="10">
                        <c:v>79770</c:v>
                      </c:pt>
                      <c:pt idx="11">
                        <c:v>73768</c:v>
                      </c:pt>
                      <c:pt idx="12">
                        <c:v>66780</c:v>
                      </c:pt>
                      <c:pt idx="13">
                        <c:v>57979</c:v>
                      </c:pt>
                      <c:pt idx="14">
                        <c:v>55336</c:v>
                      </c:pt>
                      <c:pt idx="15">
                        <c:v>49000</c:v>
                      </c:pt>
                      <c:pt idx="16">
                        <c:v>45714</c:v>
                      </c:pt>
                      <c:pt idx="17">
                        <c:v>43909</c:v>
                      </c:pt>
                      <c:pt idx="18">
                        <c:v>40765</c:v>
                      </c:pt>
                      <c:pt idx="19">
                        <c:v>38288</c:v>
                      </c:pt>
                    </c:numCache>
                  </c:numRef>
                </c:val>
                <c:extLst>
                  <c:ext xmlns:c16="http://schemas.microsoft.com/office/drawing/2014/chart" uri="{C3380CC4-5D6E-409C-BE32-E72D297353CC}">
                    <c16:uniqueId val="{00000003-7230-467C-AF26-FCBA45809A7B}"/>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50490767"/>
        <c:crosses val="max"/>
        <c:crossBetween val="between"/>
        <c:majorUnit val="1"/>
      </c:valAx>
      <c:spPr>
        <a:noFill/>
        <a:ln>
          <a:noFill/>
        </a:ln>
        <a:effectLst/>
      </c:spPr>
    </c:plotArea>
    <c:legend>
      <c:legendPos val="r"/>
      <c:layout>
        <c:manualLayout>
          <c:xMode val="edge"/>
          <c:yMode val="edge"/>
          <c:x val="0.41283390295951605"/>
          <c:y val="0.20092009995255927"/>
          <c:w val="0.49805184057844848"/>
          <c:h val="0.31567391272029488"/>
        </c:manualLayout>
      </c:layout>
      <c:overlay val="0"/>
      <c:spPr>
        <a:solidFill>
          <a:srgbClr val="FFFFFF"/>
        </a:solidFill>
        <a:ln>
          <a:noFill/>
        </a:ln>
        <a:effectLst/>
      </c:spPr>
      <c:txPr>
        <a:bodyPr rot="0" spcFirstLastPara="1" vertOverflow="ellipsis" vert="horz" wrap="square" anchor="ctr" anchorCtr="1"/>
        <a:lstStyle/>
        <a:p>
          <a:pPr>
            <a:defRPr sz="1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809048</xdr:colOff>
      <xdr:row>5</xdr:row>
      <xdr:rowOff>122395</xdr:rowOff>
    </xdr:from>
    <xdr:to>
      <xdr:col>25</xdr:col>
      <xdr:colOff>531957</xdr:colOff>
      <xdr:row>36</xdr:row>
      <xdr:rowOff>15586</xdr:rowOff>
    </xdr:to>
    <xdr:graphicFrame macro="">
      <xdr:nvGraphicFramePr>
        <xdr:cNvPr id="2" name="Diagramm 1">
          <a:extLst>
            <a:ext uri="{FF2B5EF4-FFF2-40B4-BE49-F238E27FC236}">
              <a16:creationId xmlns:a16="http://schemas.microsoft.com/office/drawing/2014/main" id="{4222CB9C-F517-4022-ADDD-88E9A6B60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645318</xdr:colOff>
      <xdr:row>34</xdr:row>
      <xdr:rowOff>99378</xdr:rowOff>
    </xdr:from>
    <xdr:to>
      <xdr:col>44</xdr:col>
      <xdr:colOff>40315</xdr:colOff>
      <xdr:row>36</xdr:row>
      <xdr:rowOff>190430</xdr:rowOff>
    </xdr:to>
    <xdr:sp macro="" textlink="">
      <xdr:nvSpPr>
        <xdr:cNvPr id="17" name="Textfeld 48">
          <a:extLst>
            <a:ext uri="{FF2B5EF4-FFF2-40B4-BE49-F238E27FC236}">
              <a16:creationId xmlns:a16="http://schemas.microsoft.com/office/drawing/2014/main" id="{57EE7963-86BD-494C-8681-69C183FB5245}"/>
            </a:ext>
          </a:extLst>
        </xdr:cNvPr>
        <xdr:cNvSpPr txBox="1"/>
      </xdr:nvSpPr>
      <xdr:spPr>
        <a:xfrm>
          <a:off x="37935693" y="6635909"/>
          <a:ext cx="556243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0.87207</cdr:x>
      <cdr:y>0.90371</cdr:y>
    </cdr:from>
    <cdr:to>
      <cdr:x>0.96306</cdr:x>
      <cdr:y>0.94751</cdr:y>
    </cdr:to>
    <cdr:sp macro="" textlink="">
      <cdr:nvSpPr>
        <cdr:cNvPr id="2" name="Textfeld 1"/>
        <cdr:cNvSpPr txBox="1"/>
      </cdr:nvSpPr>
      <cdr:spPr>
        <a:xfrm xmlns:a="http://schemas.openxmlformats.org/drawingml/2006/main">
          <a:off x="12974755" y="8252010"/>
          <a:ext cx="1353753" cy="39995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371475</xdr:colOff>
      <xdr:row>5</xdr:row>
      <xdr:rowOff>98425</xdr:rowOff>
    </xdr:from>
    <xdr:to>
      <xdr:col>26</xdr:col>
      <xdr:colOff>658907</xdr:colOff>
      <xdr:row>45</xdr:row>
      <xdr:rowOff>78814</xdr:rowOff>
    </xdr:to>
    <xdr:graphicFrame macro="">
      <xdr:nvGraphicFramePr>
        <xdr:cNvPr id="2" name="Diagramm 1">
          <a:extLst>
            <a:ext uri="{FF2B5EF4-FFF2-40B4-BE49-F238E27FC236}">
              <a16:creationId xmlns:a16="http://schemas.microsoft.com/office/drawing/2014/main" id="{A1ED06B8-3F2A-421D-9A97-485D0CBC1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0.84327</cdr:x>
      <cdr:y>0.89049</cdr:y>
    </cdr:from>
    <cdr:to>
      <cdr:x>0.96037</cdr:x>
      <cdr:y>0.93429</cdr:y>
    </cdr:to>
    <cdr:sp macro="" textlink="">
      <cdr:nvSpPr>
        <cdr:cNvPr id="2" name="Textfeld 1"/>
        <cdr:cNvSpPr txBox="1"/>
      </cdr:nvSpPr>
      <cdr:spPr>
        <a:xfrm xmlns:a="http://schemas.openxmlformats.org/drawingml/2006/main">
          <a:off x="11230300" y="7220417"/>
          <a:ext cx="1559494" cy="35514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0.31698</cdr:x>
      <cdr:y>0.61034</cdr:y>
    </cdr:from>
    <cdr:to>
      <cdr:x>0.91047</cdr:x>
      <cdr:y>0.77727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4221440" y="4948858"/>
          <a:ext cx="7903885" cy="135351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Includes</a:t>
          </a:r>
          <a:r>
            <a:rPr lang="de-DE" sz="1800" b="0" baseline="0">
              <a:latin typeface="Times New Roman" panose="02020603050405020304" pitchFamily="18" charset="0"/>
              <a:cs typeface="Times New Roman" panose="02020603050405020304" pitchFamily="18" charset="0"/>
            </a:rPr>
            <a:t> bilateral commitments to Ukraine. Does not include private donations,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support for refugees outside of Ukraine, and aid by international organisations.</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EU Institutions includes commitments by EU (Commission and Council), MFA,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and the European Investment Bank. </a:t>
          </a:r>
          <a:endParaRPr lang="de-DE" sz="1800" b="0">
            <a:latin typeface="Times New Roman" panose="02020603050405020304" pitchFamily="18"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25212</xdr:colOff>
      <xdr:row>5</xdr:row>
      <xdr:rowOff>124386</xdr:rowOff>
    </xdr:from>
    <xdr:to>
      <xdr:col>22</xdr:col>
      <xdr:colOff>350744</xdr:colOff>
      <xdr:row>45</xdr:row>
      <xdr:rowOff>104775</xdr:rowOff>
    </xdr:to>
    <xdr:graphicFrame macro="">
      <xdr:nvGraphicFramePr>
        <xdr:cNvPr id="2" name="Diagramm 1">
          <a:extLst>
            <a:ext uri="{FF2B5EF4-FFF2-40B4-BE49-F238E27FC236}">
              <a16:creationId xmlns:a16="http://schemas.microsoft.com/office/drawing/2014/main" id="{90F3C28A-C24C-444D-A86B-748389649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0.83255</cdr:x>
      <cdr:y>0.88805</cdr:y>
    </cdr:from>
    <cdr:to>
      <cdr:x>0.94965</cdr:x>
      <cdr:y>0.93185</cdr:y>
    </cdr:to>
    <cdr:sp macro="" textlink="">
      <cdr:nvSpPr>
        <cdr:cNvPr id="2" name="Textfeld 1"/>
        <cdr:cNvSpPr txBox="1"/>
      </cdr:nvSpPr>
      <cdr:spPr>
        <a:xfrm xmlns:a="http://schemas.openxmlformats.org/drawingml/2006/main">
          <a:off x="9631742" y="7147585"/>
          <a:ext cx="1354724" cy="35252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0.45199</cdr:x>
      <cdr:y>0.57867</cdr:y>
    </cdr:from>
    <cdr:to>
      <cdr:x>0.90402</cdr:x>
      <cdr:y>0.72367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5174357" y="4553746"/>
          <a:ext cx="5174836" cy="114108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government commitments to Ukraine.</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orange bars (committed in-kind aid) are the same as in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Figure 5, thus ignoring financial military commitments.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red bars show delivered military aid only.</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0.90711</cdr:x>
      <cdr:y>0.00919</cdr:y>
    </cdr:from>
    <cdr:to>
      <cdr:x>0.97385</cdr:x>
      <cdr:y>0.04957</cdr:y>
    </cdr:to>
    <cdr:sp macro="" textlink="">
      <cdr:nvSpPr>
        <cdr:cNvPr id="4" name="Textfeld 1">
          <a:extLst xmlns:a="http://schemas.openxmlformats.org/drawingml/2006/main">
            <a:ext uri="{FF2B5EF4-FFF2-40B4-BE49-F238E27FC236}">
              <a16:creationId xmlns:a16="http://schemas.microsoft.com/office/drawing/2014/main" id="{D2F98700-44E0-2B12-4C11-C0AE5FD3A4E1}"/>
            </a:ext>
          </a:extLst>
        </cdr:cNvPr>
        <cdr:cNvSpPr txBox="1"/>
      </cdr:nvSpPr>
      <cdr:spPr>
        <a:xfrm xmlns:a="http://schemas.openxmlformats.org/drawingml/2006/main">
          <a:off x="10494271" y="73938"/>
          <a:ext cx="772112" cy="32500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31%</a:t>
          </a:r>
        </a:p>
      </cdr:txBody>
    </cdr:sp>
  </cdr:relSizeAnchor>
  <cdr:relSizeAnchor xmlns:cdr="http://schemas.openxmlformats.org/drawingml/2006/chartDrawing">
    <cdr:from>
      <cdr:x>0.43249</cdr:x>
      <cdr:y>0.05923</cdr:y>
    </cdr:from>
    <cdr:to>
      <cdr:x>0.63217</cdr:x>
      <cdr:y>0.09969</cdr:y>
    </cdr:to>
    <cdr:sp macro="" textlink="">
      <cdr:nvSpPr>
        <cdr:cNvPr id="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5003469" y="476695"/>
          <a:ext cx="2310089" cy="32564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0.38696</cdr:x>
      <cdr:y>0.10238</cdr:y>
    </cdr:from>
    <cdr:to>
      <cdr:x>0.58568</cdr:x>
      <cdr:y>0.14006</cdr:y>
    </cdr:to>
    <cdr:sp macro="" textlink="">
      <cdr:nvSpPr>
        <cdr:cNvPr id="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4476716" y="823978"/>
          <a:ext cx="2298983" cy="30335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89%</a:t>
          </a:r>
        </a:p>
      </cdr:txBody>
    </cdr:sp>
  </cdr:relSizeAnchor>
  <cdr:relSizeAnchor xmlns:cdr="http://schemas.openxmlformats.org/drawingml/2006/chartDrawing">
    <cdr:from>
      <cdr:x>0.34919</cdr:x>
      <cdr:y>0.15388</cdr:y>
    </cdr:from>
    <cdr:to>
      <cdr:x>0.55082</cdr:x>
      <cdr:y>0.19018</cdr:y>
    </cdr:to>
    <cdr:sp macro="" textlink="">
      <cdr:nvSpPr>
        <cdr:cNvPr id="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4039725" y="1238559"/>
          <a:ext cx="2332648" cy="29216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82%</a:t>
          </a:r>
        </a:p>
      </cdr:txBody>
    </cdr:sp>
  </cdr:relSizeAnchor>
  <cdr:relSizeAnchor xmlns:cdr="http://schemas.openxmlformats.org/drawingml/2006/chartDrawing">
    <cdr:from>
      <cdr:x>0.30173</cdr:x>
      <cdr:y>0.19705</cdr:y>
    </cdr:from>
    <cdr:to>
      <cdr:x>0.50142</cdr:x>
      <cdr:y>0.23891</cdr:y>
    </cdr:to>
    <cdr:sp macro="" textlink="">
      <cdr:nvSpPr>
        <cdr:cNvPr id="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490661" y="1585996"/>
          <a:ext cx="2310204" cy="33691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95%</a:t>
          </a:r>
        </a:p>
      </cdr:txBody>
    </cdr:sp>
  </cdr:relSizeAnchor>
  <cdr:relSizeAnchor xmlns:cdr="http://schemas.openxmlformats.org/drawingml/2006/chartDrawing">
    <cdr:from>
      <cdr:x>0.31044</cdr:x>
      <cdr:y>0.24995</cdr:y>
    </cdr:from>
    <cdr:to>
      <cdr:x>0.51206</cdr:x>
      <cdr:y>0.28625</cdr:y>
    </cdr:to>
    <cdr:sp macro="" textlink="">
      <cdr:nvSpPr>
        <cdr:cNvPr id="1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591513" y="2011742"/>
          <a:ext cx="2332532" cy="29216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46%</a:t>
          </a:r>
        </a:p>
      </cdr:txBody>
    </cdr:sp>
  </cdr:relSizeAnchor>
  <cdr:relSizeAnchor xmlns:cdr="http://schemas.openxmlformats.org/drawingml/2006/chartDrawing">
    <cdr:from>
      <cdr:x>0.28332</cdr:x>
      <cdr:y>0.29173</cdr:y>
    </cdr:from>
    <cdr:to>
      <cdr:x>0.48495</cdr:x>
      <cdr:y>0.32941</cdr:y>
    </cdr:to>
    <cdr:sp macro="" textlink="">
      <cdr:nvSpPr>
        <cdr:cNvPr id="1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277684" y="2348058"/>
          <a:ext cx="2332648" cy="30327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97%</a:t>
          </a:r>
        </a:p>
      </cdr:txBody>
    </cdr:sp>
  </cdr:relSizeAnchor>
  <cdr:relSizeAnchor xmlns:cdr="http://schemas.openxmlformats.org/drawingml/2006/chartDrawing">
    <cdr:from>
      <cdr:x>0.28623</cdr:x>
      <cdr:y>0.33792</cdr:y>
    </cdr:from>
    <cdr:to>
      <cdr:x>0.49043</cdr:x>
      <cdr:y>0.37675</cdr:y>
    </cdr:to>
    <cdr:sp macro="" textlink="">
      <cdr:nvSpPr>
        <cdr:cNvPr id="1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311372" y="2719769"/>
          <a:ext cx="2362381" cy="31252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88%</a:t>
          </a:r>
        </a:p>
      </cdr:txBody>
    </cdr:sp>
  </cdr:relSizeAnchor>
  <cdr:relSizeAnchor xmlns:cdr="http://schemas.openxmlformats.org/drawingml/2006/chartDrawing">
    <cdr:from>
      <cdr:x>0.2717</cdr:x>
      <cdr:y>0.38362</cdr:y>
    </cdr:from>
    <cdr:to>
      <cdr:x>0.48881</cdr:x>
      <cdr:y>0.41991</cdr:y>
    </cdr:to>
    <cdr:sp macro="" textlink="">
      <cdr:nvSpPr>
        <cdr:cNvPr id="1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43301" y="3087591"/>
          <a:ext cx="2511735" cy="29208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0.27267</cdr:x>
      <cdr:y>0.43652</cdr:y>
    </cdr:from>
    <cdr:to>
      <cdr:x>0.49173</cdr:x>
      <cdr:y>0.47699</cdr:y>
    </cdr:to>
    <cdr:sp macro="" textlink="">
      <cdr:nvSpPr>
        <cdr:cNvPr id="1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54491" y="3513375"/>
          <a:ext cx="2534295" cy="32572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64%</a:t>
          </a:r>
        </a:p>
      </cdr:txBody>
    </cdr:sp>
  </cdr:relSizeAnchor>
  <cdr:relSizeAnchor xmlns:cdr="http://schemas.openxmlformats.org/drawingml/2006/chartDrawing">
    <cdr:from>
      <cdr:x>0.27073</cdr:x>
      <cdr:y>0.48386</cdr:y>
    </cdr:from>
    <cdr:to>
      <cdr:x>0.46364</cdr:x>
      <cdr:y>0.52433</cdr:y>
    </cdr:to>
    <cdr:sp macro="" textlink="">
      <cdr:nvSpPr>
        <cdr:cNvPr id="1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32020" y="3894440"/>
          <a:ext cx="2231767" cy="32572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0.26202</cdr:x>
      <cdr:y>0.66634</cdr:y>
    </cdr:from>
    <cdr:to>
      <cdr:x>0.46946</cdr:x>
      <cdr:y>0.70114</cdr:y>
    </cdr:to>
    <cdr:sp macro="" textlink="">
      <cdr:nvSpPr>
        <cdr:cNvPr id="1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31259" y="5363134"/>
          <a:ext cx="2399863" cy="2800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0.2717</cdr:x>
      <cdr:y>0.52562</cdr:y>
    </cdr:from>
    <cdr:to>
      <cdr:x>0.49366</cdr:x>
      <cdr:y>0.56888</cdr:y>
    </cdr:to>
    <cdr:sp macro="" textlink="">
      <cdr:nvSpPr>
        <cdr:cNvPr id="17"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43304" y="4230514"/>
          <a:ext cx="2567845" cy="34818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0.27461</cdr:x>
      <cdr:y>0.57298</cdr:y>
    </cdr:from>
    <cdr:to>
      <cdr:x>0.49948</cdr:x>
      <cdr:y>0.61483</cdr:y>
    </cdr:to>
    <cdr:sp macro="" textlink="">
      <cdr:nvSpPr>
        <cdr:cNvPr id="1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76958" y="4611678"/>
          <a:ext cx="2601511" cy="33683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58%</a:t>
          </a:r>
        </a:p>
      </cdr:txBody>
    </cdr:sp>
  </cdr:relSizeAnchor>
  <cdr:relSizeAnchor xmlns:cdr="http://schemas.openxmlformats.org/drawingml/2006/chartDrawing">
    <cdr:from>
      <cdr:x>0.26298</cdr:x>
      <cdr:y>0.6204</cdr:y>
    </cdr:from>
    <cdr:to>
      <cdr:x>0.48398</cdr:x>
      <cdr:y>0.65938</cdr:y>
    </cdr:to>
    <cdr:sp macro="" textlink="">
      <cdr:nvSpPr>
        <cdr:cNvPr id="1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42419" y="4993337"/>
          <a:ext cx="2556739" cy="31373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82%</a:t>
          </a:r>
        </a:p>
      </cdr:txBody>
    </cdr:sp>
  </cdr:relSizeAnchor>
  <cdr:relSizeAnchor xmlns:cdr="http://schemas.openxmlformats.org/drawingml/2006/chartDrawing">
    <cdr:from>
      <cdr:x>0.26783</cdr:x>
      <cdr:y>0.76101</cdr:y>
    </cdr:from>
    <cdr:to>
      <cdr:x>0.48882</cdr:x>
      <cdr:y>0.8</cdr:y>
    </cdr:to>
    <cdr:sp macro="" textlink="">
      <cdr:nvSpPr>
        <cdr:cNvPr id="2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98485" y="6125123"/>
          <a:ext cx="2556623" cy="31373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72%</a:t>
          </a:r>
        </a:p>
      </cdr:txBody>
    </cdr:sp>
  </cdr:relSizeAnchor>
  <cdr:relSizeAnchor xmlns:cdr="http://schemas.openxmlformats.org/drawingml/2006/chartDrawing">
    <cdr:from>
      <cdr:x>0.26589</cdr:x>
      <cdr:y>0.71368</cdr:y>
    </cdr:from>
    <cdr:to>
      <cdr:x>0.48107</cdr:x>
      <cdr:y>0.75266</cdr:y>
    </cdr:to>
    <cdr:sp macro="" textlink="">
      <cdr:nvSpPr>
        <cdr:cNvPr id="2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76050" y="5744163"/>
          <a:ext cx="2489407" cy="31373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84%</a:t>
          </a:r>
        </a:p>
      </cdr:txBody>
    </cdr:sp>
  </cdr:relSizeAnchor>
  <cdr:relSizeAnchor xmlns:cdr="http://schemas.openxmlformats.org/drawingml/2006/chartDrawing">
    <cdr:from>
      <cdr:x>0.26588</cdr:x>
      <cdr:y>0.90025</cdr:y>
    </cdr:from>
    <cdr:to>
      <cdr:x>0.48882</cdr:x>
      <cdr:y>0.95176</cdr:y>
    </cdr:to>
    <cdr:sp macro="" textlink="">
      <cdr:nvSpPr>
        <cdr:cNvPr id="2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75960" y="7245734"/>
          <a:ext cx="2579183" cy="41458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0.26782</cdr:x>
      <cdr:y>0.85151</cdr:y>
    </cdr:from>
    <cdr:to>
      <cdr:x>0.48591</cdr:x>
      <cdr:y>0.8891</cdr:y>
    </cdr:to>
    <cdr:sp macro="" textlink="">
      <cdr:nvSpPr>
        <cdr:cNvPr id="2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98420" y="6853506"/>
          <a:ext cx="2523073" cy="30254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0.26879</cdr:x>
      <cdr:y>0.80279</cdr:y>
    </cdr:from>
    <cdr:to>
      <cdr:x>0.49367</cdr:x>
      <cdr:y>0.83899</cdr:y>
    </cdr:to>
    <cdr:sp macro="" textlink="">
      <cdr:nvSpPr>
        <cdr:cNvPr id="2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09591" y="6461341"/>
          <a:ext cx="2601626" cy="29136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67%</a:t>
          </a: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469446</xdr:colOff>
      <xdr:row>4</xdr:row>
      <xdr:rowOff>170089</xdr:rowOff>
    </xdr:from>
    <xdr:to>
      <xdr:col>26</xdr:col>
      <xdr:colOff>156803</xdr:colOff>
      <xdr:row>43</xdr:row>
      <xdr:rowOff>150478</xdr:rowOff>
    </xdr:to>
    <xdr:graphicFrame macro="">
      <xdr:nvGraphicFramePr>
        <xdr:cNvPr id="2" name="Diagramm 1">
          <a:extLst>
            <a:ext uri="{FF2B5EF4-FFF2-40B4-BE49-F238E27FC236}">
              <a16:creationId xmlns:a16="http://schemas.microsoft.com/office/drawing/2014/main" id="{86C94C51-66FB-4315-93A1-3BD551F8F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0.34723</cdr:x>
      <cdr:y>0.6534</cdr:y>
    </cdr:from>
    <cdr:to>
      <cdr:x>1</cdr:x>
      <cdr:y>0.80192</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973675" y="4980319"/>
          <a:ext cx="7470253" cy="113200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The figure differs from Figure 6 in that we only count budgetary support</a:t>
          </a:r>
          <a:br>
            <a:rPr lang="de-DE" sz="1800" b="0">
              <a:latin typeface="Times New Roman" panose="02020603050405020304" pitchFamily="18" charset="0"/>
              <a:cs typeface="Times New Roman" panose="02020603050405020304" pitchFamily="18" charset="0"/>
            </a:rPr>
          </a:br>
          <a:r>
            <a:rPr lang="de-DE" sz="1800" b="0">
              <a:latin typeface="Times New Roman" panose="02020603050405020304" pitchFamily="18" charset="0"/>
              <a:cs typeface="Times New Roman" panose="02020603050405020304" pitchFamily="18" charset="0"/>
            </a:rPr>
            <a:t>rather than all types of financial aid. Information on</a:t>
          </a:r>
          <a:r>
            <a:rPr lang="de-DE" sz="1800" b="0" baseline="0">
              <a:latin typeface="Times New Roman" panose="02020603050405020304" pitchFamily="18" charset="0"/>
              <a:cs typeface="Times New Roman" panose="02020603050405020304" pitchFamily="18" charset="0"/>
            </a:rPr>
            <a:t> amounts disbursed are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disclosed by the Ukrainian government. Does not contain financial aid by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international organisation, private donations, or aid for refugees</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0.83785</cdr:x>
      <cdr:y>0.90352</cdr:y>
    </cdr:from>
    <cdr:to>
      <cdr:x>0.95495</cdr:x>
      <cdr:y>0.94732</cdr:y>
    </cdr:to>
    <cdr:sp macro="" textlink="">
      <cdr:nvSpPr>
        <cdr:cNvPr id="4" name="Textfeld 1">
          <a:extLst xmlns:a="http://schemas.openxmlformats.org/drawingml/2006/main">
            <a:ext uri="{FF2B5EF4-FFF2-40B4-BE49-F238E27FC236}">
              <a16:creationId xmlns:a16="http://schemas.microsoft.com/office/drawing/2014/main" id="{B58884D1-0C77-4B7E-107C-8B975B6D02A0}"/>
            </a:ext>
          </a:extLst>
        </cdr:cNvPr>
        <cdr:cNvSpPr txBox="1"/>
      </cdr:nvSpPr>
      <cdr:spPr>
        <a:xfrm xmlns:a="http://schemas.openxmlformats.org/drawingml/2006/main">
          <a:off x="9793514" y="7358874"/>
          <a:ext cx="1368765" cy="35673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0.94397</cdr:x>
      <cdr:y>0.02337</cdr:y>
    </cdr:from>
    <cdr:to>
      <cdr:x>0.98439</cdr:x>
      <cdr:y>0.07135</cdr:y>
    </cdr:to>
    <cdr:sp macro="" textlink="">
      <cdr:nvSpPr>
        <cdr:cNvPr id="5" name="Textfeld 1">
          <a:extLst xmlns:a="http://schemas.openxmlformats.org/drawingml/2006/main">
            <a:ext uri="{FF2B5EF4-FFF2-40B4-BE49-F238E27FC236}">
              <a16:creationId xmlns:a16="http://schemas.microsoft.com/office/drawing/2014/main" id="{02E0A284-2E09-9DF0-B103-DC00FC906D24}"/>
            </a:ext>
          </a:extLst>
        </cdr:cNvPr>
        <cdr:cNvSpPr txBox="1"/>
      </cdr:nvSpPr>
      <cdr:spPr>
        <a:xfrm xmlns:a="http://schemas.openxmlformats.org/drawingml/2006/main">
          <a:off x="10802750" y="185571"/>
          <a:ext cx="462564" cy="38098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16%</a:t>
          </a:r>
        </a:p>
      </cdr:txBody>
    </cdr:sp>
  </cdr:relSizeAnchor>
  <cdr:relSizeAnchor xmlns:cdr="http://schemas.openxmlformats.org/drawingml/2006/chartDrawing">
    <cdr:from>
      <cdr:x>0.34041</cdr:x>
      <cdr:y>0.0775</cdr:y>
    </cdr:from>
    <cdr:to>
      <cdr:x>0.43351</cdr:x>
      <cdr:y>0.11988</cdr:y>
    </cdr:to>
    <cdr:sp macro="" textlink="">
      <cdr:nvSpPr>
        <cdr:cNvPr id="6"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895683" y="615430"/>
          <a:ext cx="1065430" cy="33652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76%</a:t>
          </a:r>
        </a:p>
      </cdr:txBody>
    </cdr:sp>
  </cdr:relSizeAnchor>
  <cdr:relSizeAnchor xmlns:cdr="http://schemas.openxmlformats.org/drawingml/2006/chartDrawing">
    <cdr:from>
      <cdr:x>0.7328</cdr:x>
      <cdr:y>0.13335</cdr:y>
    </cdr:from>
    <cdr:to>
      <cdr:x>0.93172</cdr:x>
      <cdr:y>0.17102</cdr:y>
    </cdr:to>
    <cdr:sp macro="" textlink="">
      <cdr:nvSpPr>
        <cdr:cNvPr id="8"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8386094" y="1058838"/>
          <a:ext cx="2276426" cy="29912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a:t>
          </a:r>
        </a:p>
      </cdr:txBody>
    </cdr:sp>
  </cdr:relSizeAnchor>
  <cdr:relSizeAnchor xmlns:cdr="http://schemas.openxmlformats.org/drawingml/2006/chartDrawing">
    <cdr:from>
      <cdr:x>0.28549</cdr:x>
      <cdr:y>0.18695</cdr:y>
    </cdr:from>
    <cdr:to>
      <cdr:x>0.59618</cdr:x>
      <cdr:y>0.221</cdr:y>
    </cdr:to>
    <cdr:sp macro="" textlink="">
      <cdr:nvSpPr>
        <cdr:cNvPr id="9"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267082" y="1484495"/>
          <a:ext cx="3555514" cy="27037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96%</a:t>
          </a:r>
        </a:p>
      </cdr:txBody>
    </cdr:sp>
  </cdr:relSizeAnchor>
  <cdr:relSizeAnchor xmlns:cdr="http://schemas.openxmlformats.org/drawingml/2006/chartDrawing">
    <cdr:from>
      <cdr:x>0.28691</cdr:x>
      <cdr:y>0.23789</cdr:y>
    </cdr:from>
    <cdr:to>
      <cdr:x>0.5116</cdr:x>
      <cdr:y>0.27612</cdr:y>
    </cdr:to>
    <cdr:sp macro="" textlink="">
      <cdr:nvSpPr>
        <cdr:cNvPr id="11"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283424" y="1889011"/>
          <a:ext cx="2571336" cy="30356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51%</a:t>
          </a:r>
        </a:p>
      </cdr:txBody>
    </cdr:sp>
  </cdr:relSizeAnchor>
  <cdr:relSizeAnchor xmlns:cdr="http://schemas.openxmlformats.org/drawingml/2006/chartDrawing">
    <cdr:from>
      <cdr:x>0.32282</cdr:x>
      <cdr:y>0.29302</cdr:y>
    </cdr:from>
    <cdr:to>
      <cdr:x>0.60617</cdr:x>
      <cdr:y>0.3341</cdr:y>
    </cdr:to>
    <cdr:sp macro="" textlink="">
      <cdr:nvSpPr>
        <cdr:cNvPr id="12"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694338" y="2326775"/>
          <a:ext cx="3242637" cy="32619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23%</a:t>
          </a:r>
        </a:p>
      </cdr:txBody>
    </cdr:sp>
  </cdr:relSizeAnchor>
  <cdr:relSizeAnchor xmlns:cdr="http://schemas.openxmlformats.org/drawingml/2006/chartDrawing">
    <cdr:from>
      <cdr:x>0.30474</cdr:x>
      <cdr:y>0.35473</cdr:y>
    </cdr:from>
    <cdr:to>
      <cdr:x>0.5112</cdr:x>
      <cdr:y>0.39894</cdr:y>
    </cdr:to>
    <cdr:sp macro="" textlink="">
      <cdr:nvSpPr>
        <cdr:cNvPr id="13"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487468" y="2816729"/>
          <a:ext cx="2362714" cy="35105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11%</a:t>
          </a:r>
        </a:p>
      </cdr:txBody>
    </cdr:sp>
  </cdr:relSizeAnchor>
  <cdr:relSizeAnchor xmlns:cdr="http://schemas.openxmlformats.org/drawingml/2006/chartDrawing">
    <cdr:from>
      <cdr:x>0.27502</cdr:x>
      <cdr:y>0.40099</cdr:y>
    </cdr:from>
    <cdr:to>
      <cdr:x>0.54926</cdr:x>
      <cdr:y>0.44863</cdr:y>
    </cdr:to>
    <cdr:sp macro="" textlink="">
      <cdr:nvSpPr>
        <cdr:cNvPr id="14"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147298" y="3184074"/>
          <a:ext cx="3138383" cy="37828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38%</a:t>
          </a:r>
        </a:p>
      </cdr:txBody>
    </cdr:sp>
  </cdr:relSizeAnchor>
  <cdr:relSizeAnchor xmlns:cdr="http://schemas.openxmlformats.org/drawingml/2006/chartDrawing">
    <cdr:from>
      <cdr:x>0.25362</cdr:x>
      <cdr:y>0.45889</cdr:y>
    </cdr:from>
    <cdr:to>
      <cdr:x>0.45571</cdr:x>
      <cdr:y>0.49832</cdr:y>
    </cdr:to>
    <cdr:sp macro="" textlink="">
      <cdr:nvSpPr>
        <cdr:cNvPr id="15"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902446" y="3643861"/>
          <a:ext cx="2312703" cy="31309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 100% </a:t>
          </a:r>
        </a:p>
      </cdr:txBody>
    </cdr:sp>
  </cdr:relSizeAnchor>
  <cdr:relSizeAnchor xmlns:cdr="http://schemas.openxmlformats.org/drawingml/2006/chartDrawing">
    <cdr:from>
      <cdr:x>0.26432</cdr:x>
      <cdr:y>0.5064</cdr:y>
    </cdr:from>
    <cdr:to>
      <cdr:x>0.47196</cdr:x>
      <cdr:y>0.54287</cdr:y>
    </cdr:to>
    <cdr:sp macro="" textlink="">
      <cdr:nvSpPr>
        <cdr:cNvPr id="16"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024829" y="4021126"/>
          <a:ext cx="2376217" cy="2895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97%</a:t>
          </a:r>
        </a:p>
      </cdr:txBody>
    </cdr:sp>
  </cdr:relSizeAnchor>
  <cdr:relSizeAnchor xmlns:cdr="http://schemas.openxmlformats.org/drawingml/2006/chartDrawing">
    <cdr:from>
      <cdr:x>0.25243</cdr:x>
      <cdr:y>0.56982</cdr:y>
    </cdr:from>
    <cdr:to>
      <cdr:x>0.4581</cdr:x>
      <cdr:y>0.61142</cdr:y>
    </cdr:to>
    <cdr:sp macro="" textlink="">
      <cdr:nvSpPr>
        <cdr:cNvPr id="17"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888747" y="4524681"/>
          <a:ext cx="2353672" cy="33032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 </a:t>
          </a:r>
        </a:p>
      </cdr:txBody>
    </cdr:sp>
  </cdr:relSizeAnchor>
  <cdr:relSizeAnchor xmlns:cdr="http://schemas.openxmlformats.org/drawingml/2006/chartDrawing">
    <cdr:from>
      <cdr:x>0.26008</cdr:x>
      <cdr:y>0.62176</cdr:y>
    </cdr:from>
    <cdr:to>
      <cdr:x>0.46681</cdr:x>
      <cdr:y>0.65701</cdr:y>
    </cdr:to>
    <cdr:sp macro="" textlink="">
      <cdr:nvSpPr>
        <cdr:cNvPr id="18" name="Textfeld 1">
          <a:extLst xmlns:a="http://schemas.openxmlformats.org/drawingml/2006/main">
            <a:ext uri="{FF2B5EF4-FFF2-40B4-BE49-F238E27FC236}">
              <a16:creationId xmlns:a16="http://schemas.microsoft.com/office/drawing/2014/main" id="{84070E70-C322-2889-28E5-73DBF40CA685}"/>
            </a:ext>
          </a:extLst>
        </cdr:cNvPr>
        <cdr:cNvSpPr txBox="1"/>
      </cdr:nvSpPr>
      <cdr:spPr>
        <a:xfrm xmlns:a="http://schemas.openxmlformats.org/drawingml/2006/main">
          <a:off x="2976328" y="4937164"/>
          <a:ext cx="2365803" cy="27990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68%</a:t>
          </a:r>
        </a:p>
      </cdr:txBody>
    </cdr:sp>
  </cdr:relSizeAnchor>
  <cdr:relSizeAnchor xmlns:cdr="http://schemas.openxmlformats.org/drawingml/2006/chartDrawing">
    <cdr:from>
      <cdr:x>0.25837</cdr:x>
      <cdr:y>0.67785</cdr:y>
    </cdr:from>
    <cdr:to>
      <cdr:x>0.46721</cdr:x>
      <cdr:y>0.71937</cdr:y>
    </cdr:to>
    <cdr:sp macro="" textlink="">
      <cdr:nvSpPr>
        <cdr:cNvPr id="19"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956770" y="5382550"/>
          <a:ext cx="2389950" cy="3296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0.27145</cdr:x>
      <cdr:y>0.84204</cdr:y>
    </cdr:from>
    <cdr:to>
      <cdr:x>0.47473</cdr:x>
      <cdr:y>0.88389</cdr:y>
    </cdr:to>
    <cdr:sp macro="" textlink="">
      <cdr:nvSpPr>
        <cdr:cNvPr id="20"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3106447" y="6686261"/>
          <a:ext cx="2326321" cy="33231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0%</a:t>
          </a:r>
        </a:p>
      </cdr:txBody>
    </cdr:sp>
  </cdr:relSizeAnchor>
  <cdr:relSizeAnchor xmlns:cdr="http://schemas.openxmlformats.org/drawingml/2006/chartDrawing">
    <cdr:from>
      <cdr:x>0.25837</cdr:x>
      <cdr:y>0.73165</cdr:y>
    </cdr:from>
    <cdr:to>
      <cdr:x>0.46791</cdr:x>
      <cdr:y>0.78107</cdr:y>
    </cdr:to>
    <cdr:sp macro="" textlink="">
      <cdr:nvSpPr>
        <cdr:cNvPr id="21"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956783" y="5809702"/>
          <a:ext cx="2397960" cy="39242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33%</a:t>
          </a:r>
        </a:p>
      </cdr:txBody>
    </cdr:sp>
  </cdr:relSizeAnchor>
  <cdr:relSizeAnchor xmlns:cdr="http://schemas.openxmlformats.org/drawingml/2006/chartDrawing">
    <cdr:from>
      <cdr:x>0.25956</cdr:x>
      <cdr:y>0.78928</cdr:y>
    </cdr:from>
    <cdr:to>
      <cdr:x>0.47196</cdr:x>
      <cdr:y>0.83247</cdr:y>
    </cdr:to>
    <cdr:sp macro="" textlink="">
      <cdr:nvSpPr>
        <cdr:cNvPr id="22"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970378" y="6267368"/>
          <a:ext cx="2430691" cy="3429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0.27316</cdr:x>
      <cdr:y>0.88612</cdr:y>
    </cdr:from>
    <cdr:to>
      <cdr:x>0.47989</cdr:x>
      <cdr:y>0.92137</cdr:y>
    </cdr:to>
    <cdr:sp macro="" textlink="">
      <cdr:nvSpPr>
        <cdr:cNvPr id="23"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3126040" y="7036303"/>
          <a:ext cx="2365803" cy="27990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0%</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581025</xdr:colOff>
      <xdr:row>4</xdr:row>
      <xdr:rowOff>190500</xdr:rowOff>
    </xdr:from>
    <xdr:to>
      <xdr:col>18</xdr:col>
      <xdr:colOff>447675</xdr:colOff>
      <xdr:row>47</xdr:row>
      <xdr:rowOff>152400</xdr:rowOff>
    </xdr:to>
    <xdr:graphicFrame macro="">
      <xdr:nvGraphicFramePr>
        <xdr:cNvPr id="2" name="Diagramm 1">
          <a:extLst>
            <a:ext uri="{FF2B5EF4-FFF2-40B4-BE49-F238E27FC236}">
              <a16:creationId xmlns:a16="http://schemas.microsoft.com/office/drawing/2014/main" id="{6A277777-2D02-47EE-982E-B3016B08B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0.79106</cdr:x>
      <cdr:y>0.89838</cdr:y>
    </cdr:from>
    <cdr:to>
      <cdr:x>0.95751</cdr:x>
      <cdr:y>0.94218</cdr:y>
    </cdr:to>
    <cdr:sp macro="" textlink="">
      <cdr:nvSpPr>
        <cdr:cNvPr id="2" name="Textfeld 1"/>
        <cdr:cNvSpPr txBox="1"/>
      </cdr:nvSpPr>
      <cdr:spPr>
        <a:xfrm xmlns:a="http://schemas.openxmlformats.org/drawingml/2006/main">
          <a:off x="8368975" y="7070296"/>
          <a:ext cx="1760954" cy="34471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0.24897</cdr:x>
      <cdr:y>0.57051</cdr:y>
    </cdr:from>
    <cdr:to>
      <cdr:x>0.977</cdr:x>
      <cdr:y>0.66954</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798976" y="4651596"/>
          <a:ext cx="8184710" cy="80743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1600" b="0">
              <a:latin typeface="Times New Roman" panose="02020603050405020304" pitchFamily="18" charset="0"/>
              <a:cs typeface="Times New Roman" panose="02020603050405020304" pitchFamily="18" charset="0"/>
            </a:rPr>
            <a:t>Estimates of total refugee costs between</a:t>
          </a:r>
          <a:r>
            <a:rPr lang="de-DE" sz="1600" b="0" baseline="0">
              <a:latin typeface="Times New Roman" panose="02020603050405020304" pitchFamily="18" charset="0"/>
              <a:cs typeface="Times New Roman" panose="02020603050405020304" pitchFamily="18" charset="0"/>
            </a:rPr>
            <a:t> end of February and end of June (4 months)</a:t>
          </a:r>
          <a:r>
            <a:rPr lang="de-DE" sz="1600" b="0">
              <a:latin typeface="Times New Roman" panose="02020603050405020304" pitchFamily="18" charset="0"/>
              <a:cs typeface="Times New Roman" panose="02020603050405020304" pitchFamily="18" charset="0"/>
            </a:rPr>
            <a:t>.</a:t>
          </a:r>
          <a:r>
            <a:rPr lang="de-DE" sz="1600" b="0" baseline="0">
              <a:latin typeface="Times New Roman" panose="02020603050405020304" pitchFamily="18" charset="0"/>
              <a:cs typeface="Times New Roman" panose="02020603050405020304" pitchFamily="18" charset="0"/>
            </a:rPr>
            <a:t> Based on </a:t>
          </a:r>
          <a:br>
            <a:rPr lang="de-DE" sz="1600" b="0" baseline="0">
              <a:latin typeface="Times New Roman" panose="02020603050405020304" pitchFamily="18" charset="0"/>
              <a:cs typeface="Times New Roman" panose="02020603050405020304" pitchFamily="18" charset="0"/>
            </a:rPr>
          </a:br>
          <a:r>
            <a:rPr lang="de-DE" sz="1600" b="0">
              <a:latin typeface="Times New Roman" panose="02020603050405020304" pitchFamily="18" charset="0"/>
              <a:cs typeface="Times New Roman" panose="02020603050405020304" pitchFamily="18" charset="0"/>
            </a:rPr>
            <a:t>refugee</a:t>
          </a:r>
          <a:r>
            <a:rPr lang="de-DE" sz="1600" b="0" baseline="0">
              <a:latin typeface="Times New Roman" panose="02020603050405020304" pitchFamily="18" charset="0"/>
              <a:cs typeface="Times New Roman" panose="02020603050405020304" pitchFamily="18" charset="0"/>
            </a:rPr>
            <a:t> number estimates as of June 28, 2022. Refugee numbers represent the number of Ukrainian</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refugees registered in the respective country (we do not account for double registration).</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9</xdr:col>
      <xdr:colOff>624166</xdr:colOff>
      <xdr:row>5</xdr:row>
      <xdr:rowOff>62006</xdr:rowOff>
    </xdr:from>
    <xdr:to>
      <xdr:col>16</xdr:col>
      <xdr:colOff>855568</xdr:colOff>
      <xdr:row>45</xdr:row>
      <xdr:rowOff>125507</xdr:rowOff>
    </xdr:to>
    <xdr:graphicFrame macro="">
      <xdr:nvGraphicFramePr>
        <xdr:cNvPr id="2" name="Diagramm 1">
          <a:extLst>
            <a:ext uri="{FF2B5EF4-FFF2-40B4-BE49-F238E27FC236}">
              <a16:creationId xmlns:a16="http://schemas.microsoft.com/office/drawing/2014/main" id="{EFDE9552-45BA-4CDA-9813-338772ED7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50800</xdr:colOff>
      <xdr:row>32</xdr:row>
      <xdr:rowOff>116728</xdr:rowOff>
    </xdr:from>
    <xdr:to>
      <xdr:col>25</xdr:col>
      <xdr:colOff>340307</xdr:colOff>
      <xdr:row>35</xdr:row>
      <xdr:rowOff>17280</xdr:rowOff>
    </xdr:to>
    <xdr:sp macro="" textlink="">
      <xdr:nvSpPr>
        <xdr:cNvPr id="4" name="Textfeld 48">
          <a:extLst>
            <a:ext uri="{FF2B5EF4-FFF2-40B4-BE49-F238E27FC236}">
              <a16:creationId xmlns:a16="http://schemas.microsoft.com/office/drawing/2014/main" id="{E6395B73-D376-4684-AC13-8C8572CF0C42}"/>
            </a:ext>
          </a:extLst>
        </xdr:cNvPr>
        <xdr:cNvSpPr txBox="1"/>
      </xdr:nvSpPr>
      <xdr:spPr>
        <a:xfrm>
          <a:off x="21101050" y="6317503"/>
          <a:ext cx="5547307"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0.76022</cdr:x>
      <cdr:y>0.83393</cdr:y>
    </cdr:from>
    <cdr:to>
      <cdr:x>0.82908</cdr:x>
      <cdr:y>0.89213</cdr:y>
    </cdr:to>
    <cdr:sp macro="" textlink="">
      <cdr:nvSpPr>
        <cdr:cNvPr id="2" name="Textfeld 1"/>
        <cdr:cNvSpPr txBox="1"/>
      </cdr:nvSpPr>
      <cdr:spPr>
        <a:xfrm xmlns:a="http://schemas.openxmlformats.org/drawingml/2006/main">
          <a:off x="9828142" y="5120454"/>
          <a:ext cx="890224" cy="35735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0.37267</cdr:x>
      <cdr:y>0.66677</cdr:y>
    </cdr:from>
    <cdr:to>
      <cdr:x>0.90298</cdr:x>
      <cdr:y>0.80652</cdr:y>
    </cdr:to>
    <cdr:sp macro="" textlink="">
      <cdr:nvSpPr>
        <cdr:cNvPr id="4" name="Textfeld 1">
          <a:extLst xmlns:a="http://schemas.openxmlformats.org/drawingml/2006/main">
            <a:ext uri="{FF2B5EF4-FFF2-40B4-BE49-F238E27FC236}">
              <a16:creationId xmlns:a16="http://schemas.microsoft.com/office/drawing/2014/main" id="{5FCC7446-2CD7-07B2-67E7-BB03395A5ED6}"/>
            </a:ext>
          </a:extLst>
        </cdr:cNvPr>
        <cdr:cNvSpPr txBox="1"/>
      </cdr:nvSpPr>
      <cdr:spPr>
        <a:xfrm xmlns:a="http://schemas.openxmlformats.org/drawingml/2006/main">
          <a:off x="4834027" y="4207594"/>
          <a:ext cx="6878838" cy="88191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baseline="0">
              <a:latin typeface="Times New Roman" panose="02020603050405020304" pitchFamily="18" charset="0"/>
              <a:ea typeface="+mn-ea"/>
              <a:cs typeface="Times New Roman" panose="02020603050405020304" pitchFamily="18" charset="0"/>
            </a:rPr>
            <a:t>*Other donor countries include the Anglosaxon Countries (except the US), China, </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Japan, South Korea, Taiwan, Turkey, Norway and Switzerland and India.</a:t>
          </a:r>
        </a:p>
      </cdr:txBody>
    </cdr:sp>
  </cdr:relSizeAnchor>
</c:userShapes>
</file>

<file path=xl/drawings/drawing20.xml><?xml version="1.0" encoding="utf-8"?>
<c:userShapes xmlns:c="http://schemas.openxmlformats.org/drawingml/2006/chart">
  <cdr:relSizeAnchor xmlns:cdr="http://schemas.openxmlformats.org/drawingml/2006/chartDrawing">
    <cdr:from>
      <cdr:x>0.815</cdr:x>
      <cdr:y>0.89513</cdr:y>
    </cdr:from>
    <cdr:to>
      <cdr:x>0.95022</cdr:x>
      <cdr:y>0.93893</cdr:y>
    </cdr:to>
    <cdr:sp macro="" textlink="">
      <cdr:nvSpPr>
        <cdr:cNvPr id="2" name="Textfeld 1"/>
        <cdr:cNvSpPr txBox="1"/>
      </cdr:nvSpPr>
      <cdr:spPr>
        <a:xfrm xmlns:a="http://schemas.openxmlformats.org/drawingml/2006/main">
          <a:off x="8622228" y="7054810"/>
          <a:ext cx="1430570" cy="34520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0.26575</cdr:x>
      <cdr:y>0.49435</cdr:y>
    </cdr:from>
    <cdr:to>
      <cdr:x>0.97241</cdr:x>
      <cdr:y>0.66768</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903217" y="4217412"/>
          <a:ext cx="7719989" cy="147872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the cost for refugees.</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Does not include private donations and aid by international organisations. </a:t>
          </a:r>
          <a:br>
            <a:rPr lang="de-DE" sz="1600" b="0" baseline="0">
              <a:latin typeface="Times New Roman" panose="02020603050405020304" pitchFamily="18" charset="0"/>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a:t>
          </a:r>
          <a:r>
            <a:rPr lang="de-DE" sz="1600" b="0" baseline="0">
              <a:latin typeface="Times New Roman" panose="02020603050405020304" pitchFamily="18" charset="0"/>
              <a:cs typeface="Times New Roman" panose="02020603050405020304" pitchFamily="18" charset="0"/>
            </a:rPr>
            <a:t>. </a:t>
          </a:r>
          <a:br>
            <a:rPr lang="de-DE" sz="1600" b="0" baseline="0">
              <a:latin typeface="Times New Roman" panose="02020603050405020304" pitchFamily="18" charset="0"/>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a:effectLst/>
              <a:latin typeface="Times New Roman" panose="02020603050405020304" pitchFamily="18" charset="0"/>
              <a:ea typeface="+mn-ea"/>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5</xdr:col>
      <xdr:colOff>843645</xdr:colOff>
      <xdr:row>5</xdr:row>
      <xdr:rowOff>18143</xdr:rowOff>
    </xdr:from>
    <xdr:to>
      <xdr:col>16</xdr:col>
      <xdr:colOff>323579</xdr:colOff>
      <xdr:row>44</xdr:row>
      <xdr:rowOff>166279</xdr:rowOff>
    </xdr:to>
    <xdr:graphicFrame macro="">
      <xdr:nvGraphicFramePr>
        <xdr:cNvPr id="2" name="Diagramm 1">
          <a:extLst>
            <a:ext uri="{FF2B5EF4-FFF2-40B4-BE49-F238E27FC236}">
              <a16:creationId xmlns:a16="http://schemas.microsoft.com/office/drawing/2014/main" id="{1F8C9F8E-60DA-4CC0-AF5E-EAB020141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50800</xdr:colOff>
      <xdr:row>35</xdr:row>
      <xdr:rowOff>9525</xdr:rowOff>
    </xdr:from>
    <xdr:to>
      <xdr:col>23</xdr:col>
      <xdr:colOff>323685</xdr:colOff>
      <xdr:row>37</xdr:row>
      <xdr:rowOff>100577</xdr:rowOff>
    </xdr:to>
    <xdr:sp macro="" textlink="">
      <xdr:nvSpPr>
        <xdr:cNvPr id="3" name="Textfeld 48">
          <a:extLst>
            <a:ext uri="{FF2B5EF4-FFF2-40B4-BE49-F238E27FC236}">
              <a16:creationId xmlns:a16="http://schemas.microsoft.com/office/drawing/2014/main" id="{7A486203-B921-415D-9AE1-97F6BC719BA5}"/>
            </a:ext>
          </a:extLst>
        </xdr:cNvPr>
        <xdr:cNvSpPr txBox="1"/>
      </xdr:nvSpPr>
      <xdr:spPr>
        <a:xfrm>
          <a:off x="2121535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editAs="oneCell">
    <xdr:from>
      <xdr:col>27</xdr:col>
      <xdr:colOff>0</xdr:colOff>
      <xdr:row>42</xdr:row>
      <xdr:rowOff>0</xdr:rowOff>
    </xdr:from>
    <xdr:to>
      <xdr:col>27</xdr:col>
      <xdr:colOff>304800</xdr:colOff>
      <xdr:row>43</xdr:row>
      <xdr:rowOff>104775</xdr:rowOff>
    </xdr:to>
    <xdr:sp macro="" textlink="">
      <xdr:nvSpPr>
        <xdr:cNvPr id="30721" name="AutoShape 1" descr="data:image/png;charset=utf-8;base64,iVBORw0KGgoAAAANSUhEUgAAAocAAAAyCAYAAAAujHENAAAAAXNSR0IArs4c6QAAAARnQU1BAACxjwv8YQUAAAAJcEhZcwAADsMAAA7DAcdvqGQAABF6SURBVHhe7Z3tdea2EYXXhaSLVLCO00E6SAWpQAXkaP1fFWwHbsAlbAVbgStIZsAhCYAXGAAEqfeV7nPOPbbFAQkMBoPhh+QvhBBCCCGEEEIIIYQQQgghhBBCCCGEEEIIIYQQQgghhBBCCCGEEEIIIYQQQgghhBBCCCGEEEIIIYQQQgghhBBCCCGEEEIIIYQQQgghhBBCCCGEEEIIIYQQQgghhBBCCCGEEEIIIYQQQgghhBBCCCGEEEIIIYQQQgghhBBCCCHkk/D193/98uu3/5X1+qdZltFzfP32XWx/gPY/9RxBX7+9WosPg47pOOZIE8e8+BFcw6TzYKbvwsP378a5moH06SXr33c7dB8z8sMH5tFj/mH4x+vfQ/zSH8M8W/4iz87J5C82b8c2Jb3+sGYfhjsX7MMXXywOp/LL19c/4v59+fXbf+zQfZzMDx+dR4/5d+ef//2b+GHbIz69P07wbPmLPDsnkr8cT59seHqPJx8Xc+eCZXF4jmdLrlIc/hX3T5++2KH7OJEfPgMsDgtoUajrLY/hz+qPCTxb/iLPzonkL8d+4jZFvVjTD8OdC/bhiy8Wh/P4+vtvaf9ef9qRezmRHz4Djx7zt1MoCj+tPybyVPmLfABGk/9h8/L1ERPDnQv24YsvFofTkP68//eGymh++CSwOEyhP67jmfIX+cx4m4bcOSaJQF+JyV2l/deHgQt2h8XhPB7ie0PFW+efvDgkKSwOr4N7DXkK3ED99dubmX5ouGB3WBzO4yG+N1RYHJIOWBxeB/ca8hQwUBfohx0Wh5N4lO8NFRaHpAMWh9fBvYbcS0fyd4Ozoi9fX/9d+kg5qPZNlf6NLNTGVH3l5nwbefZ13dCCDX/eAf1NyEyZT6YlXn29L+PW88NzhnmSn+v11T+NnwNM618vS3y8Ha8vPtYx2HV1LtLjmVqT60X+W5FzuN8bJseBzOwAso1lZjsd+SFm8Q2yj/X6I/aN+h/bLTIzs4vXz+tPfQ1fXMs6hqWNzFVt3YXjOp9vmq+sdRWzB+dahGK+2iaOQfGN/ExiQezj3Kn/ruMdXU+aE3d/gF8qVB/pNaUvYmutiiznyc/RqjR+ln4hu0Vm9lAxANH9bs1JcN/r87Hi+SacKyfEUG28JpBjDix59kX9jM+5/k3jPt8dzxNpHVOIWblu4ku71nu9VfnwdCR/NzgrssVZ2TDKT0fkeP1P5mhSKCDHq217N+4c1ydgwVpQY/tVsCCot1Mfm2mR0F+YrCpa7N88X83oXy+u/1eFhOb8TU4wVzlX+m/F+rq1RxtefBzJzA4g21hmttORH1ba5iQtDBWvndnUis70ryGEvnf/RYVIkpOcmB2J+WqbNQa9m+lN4v/WHBZulBtyz0EyVxU/jJ1zVX9x+GgxECNttHjqyw9B4gcv1rx1tcZORNPceIWhxJfj84KC392/UHJsF0nHtBSG2KfyczsNmU5YPMDpm+YVh3Y3BY+rSncA0gf3zqeUIPONNpG3KBpwfZItWL0mtItV6Je30KvJJdz1NdxBVhUSZfEu91T/BmjyZY9Act24wX8rahe3Q+siPo5kZgeQbSwz2+nIDwF9ogrtYh0LQ0X9j+1NzvHknE39aFPxaZSg40dtVqGYr7bRGOzuezYHALGr32C3CX5H7vmgrr7i8BFjIBAKqMpe06hqrDX4xkwD8t/De82Grv+hYjeWzHFhf1Zwm01vzvU/xe82vA8dyd8NzorWJCnnK97FwYWhiw7Y5iotqlpgnXptYPQsWPlvP0FXFquXhNFGFNDC5vQCN+mdWqHAGe7fAGdisagsuW7c5L9AKELjNviJempzlJkdQLaxzGynIz/ouLBNLFwYKv5aqsxBvG7cPndK56zU54GYr7cZuwFB11mR4x3/FytHID95Pqirtzh8vBhY9qizN467ynvZfXtNwHmY06fKuof2ptp8i9CNM5lFR/J3g7OiNXnJv5cTFQpWWSjQNhd6tVzbrHSxT6B5wbaMw1msXhIubRAzE9ciWeiA0f51cyigJilKrjF3+S+Qx0khJhIbIDM7gGxjmdlOa37QteYk8jDu0gYruGupIr2+nUbOc/4JDhB8PTYS816bIaH8p0zd4BflN9XnxtNZHFb0bjFwwbVQ0eP6ZuJeM/WGeFfhyTO09VWKeTKJ1uQvnFy4S5KsPl04PiXpWXj5xiM/q909TXkc3bRgWzZOb7EKXhLefBzjJgrxudhsvtN/hjb173RCm4yh/g0g52p5EvKyjUnH05Lo1uQac6P/FI2DJrvIBsnMDiDbWGa205IfZMzyT6eArheGiruWioqK7dAXZBNJN5U8Fv15nnZD5LUZUuFmV65VjcOQd6KiSv89j8Gj0jx9bjyzisN3igF3faikXVxQhz3Q8RnYD1zfzNxr/Bj4MxlTKCalf861YdEL7FqU36SQ2bQkf0BToBbQxQLbiJLgaVnkkfKNtLYAdRGZ2Ska/PB9xmJVvISic2mmG9KmvDnohlLasN07x2OiHOnfCNUxqVDstTxBAe3u9J+SXw8lUyW2QTKzA8g2lpntNOQHHQs+tkrGWvJThLuWdu2Fv24QeVzpMf2ZzrmeM2x0oZ/Lb7QWWGzg9YLMLMFtg9dktU2Q9nOd+6WYcJ9eB9sYr9hB68SQ49UbsNLGPOKPmGeLAT0XsttViH35WegLbLMoX/uub2btNZq7UNtNuCYIqL9hm02HhzLABkgLbNuzl/65v+hCziIL6DgRsa4oDstP9JICz72Ty5QtemgThL/jGsH1g6dagZGhcwHPYTokyLCpYFtT9empl/jyfnf3b4SQVPH5V5X8qQkG2W/KY/Zm/x2TcjlOU7ujzOwAso1lZjtufvDVOu9Na6mSV4bQOdA8427y2KcjMe+10eNmuuNu2Mf+dcdfzGDsj/gj5tliANnEqo53uaYUc+KzUNjJuHT/0zZgbpp8U1PjXiO21e8VSzcGK8uYcFsZK3iogOwideyRZCYSiHBCNs0vDnWiYRtVdGdTXqzlO64tiOrjSu46vISWy5oFTi9YVc1XEV4/80QkP/M/Sj6h4/XObQxN+PEKn8gpvTErP7vVf4ebocpdfmIHZGYHkG0sM9tx/d2iypOGiJa1lD9N6WYZz4v6VmMlP39NdoaEkZh322iBAJB29SdN2bXqm/RZFfaFkzngqWLAK6C1qJlIi29cZTkOUd5358gus4FsElXyILmSZaHgSQm6oDgUigG4LqhKAbm8KsCJb02stf7lycVLaLmsWcD1Q4t0zA0JrzfxTulbRfkmdnZjaGIwXpXemL3df2GzKh+Pie2QzOwAso1lZjuuv9vkPW1QfH+XC/8iy2uuN217PF+f7IwJIzE/uk562yGbecJPtUfHtvJUMeCujbabolam5KOGvcabw7M67r/YblVL7iBXMBjgbqDKcTPFyMYH24mkT7/Zgj4et+JRzp9spNHx8Gq5HODH8fQuBmsWmLJgVQ13R14/D5vDrL6VlM1xb/+GOJGQXX/k47nff03fGyqxHZKZHUC2scxsx/V3q/xPOfz5KX8rdiDkj/qTtl7ZmRNGYn6kjdLbDtnMlF0mYXRsK08VA+7aeMDiUOXsNd4cnlVvnIr9lN8PIL0MBri/iJ3iUNBCD7bdHvmDY2tgl4pHUfWpI3ga07sYrFnA9UOH3MTZmXhn9g0qm+Pe/g0xGK+K6498PHf6TwrB9Fj9lVRiC2RmB5BtLDPbcf3docy/Ob3zU0JsW36b3SQxq+cN43TiFzAS86PrpLcdspkpu0zC6NhWnioGgj22W/SgxaGoNg+eD86qN07NjNzOYIDPWMRiU3z6Vyoc40fMxeKydF4R+rC1dzFYs0DfgvVea9STiddPsOjq38w1zFEPvf0bwv1Q/sZvDmf6L3+S7jwhSWyBUJz7vktjO+Dmh1hOfGvBi/pl9M4PpKW/eoMJYtGNX8BIzI+uk952xfxoMrOpjI5t5aliwL2O87R8e4ih1xQtY38J/QJPy1zfJBrfazT34DaLkN/OgK4Ry8zI7fgBfllx6F/7KGsZ0AWObIrShABYFiewL8iaBZoXrF1brlX/qLz6nVln4j1RSI3Q3T+hxX9muoFsYpUKEB0vst+Ux+yN/tP4yM5f/VMNme1B8Al5w3ox053mNSq+0M3Ou0ZhDSrqf9hmVUNOaRhj0a8yhvraBAzF/EAbpbedv8nP/5ZrdGwrzxYDyCZW9fu+yqdVpuQ3wl3frLI15o6lsNfIMe8X8ap/paEXcP5EZkZux03+FxaHghfAifKnKZVXy0iXJMOWBRtviG5CkLvNcnEzshHVE0QpWW/91GuKdJw6p2pfaDPUvwb/memGt+mFfubItaFtLNDuLv/l1xGb6nc2Xr/0qdF2naVoa9pYgn1Mi9+sMAz2+etxoNLY3D6C+clZ/A3ampDvFTnm/ma6mSaMXG+8j53t/FyDnx5pvIQbKY2xELvpn1mpfgs7NraVZ4uBxU/YdlHFx96T3WyduL5RzdhrvDVceQOg11/GpXGjbwBDn4tPQ5XD+TOZGbkdmTQ0IbuuLg7bvw0JySnDW2CbNKAvwPfD8fWgLkpou6rgu7DgkL0JJb2G/v0Vrpdu7g1zcoyLS/onMtMdN+mJ4jGpfUucAL/f4r88GTfEqufrUdnpd/z8cNhgxB/Ok5vrcorvFylk401KbzC9mw2TtUjwrgdjfqCN0t1O5sWPe5mLuF244Xbyk6jYR3+9/LHFi56jtwB6tBhoyUVDPgb5tcW3Ge51Cv7U60P7TbLu4/1Y/Om3EYHrQbtIZkZuR4IWTciu6xJ5wLtLiZRvQopcx31VZpr6KHxlyA8NCUX9YtYb3uJLElCEtHPubjulxcuk/rn+E5lpglzL3cC6VYjZy/2XxwNI8jli5z7lGJGdfmckPzSs6WRjMYbWUkbrJj8iu0TCUMyPr+P+dqEQwfYnVMylcqwvLrM5/YgxMCKZy8NTtiHfDO41YQ27Nxa9wp/hYNtdZkZuZyT5CzMW8YoGDTxHrNKG2Zj80GKbwagfZMzOHR28CxzaVHTsMxd66Toj/XP9JzLTlCs2vVLMXuw/uW5+g+P/r6EaCjAoZxx29p3x/OA9PURPHM/nFLe/47IrJAzF/OA6Hm7XfgPdIDzfG+EJEmpXVN93dQ8YA+EJ7cQbSHTjpIz6RvrWvdcEGgrLZukNMXi4o0D7SGZGbsddSNcXh013N4UFo/gbt2xEFzHsh5YxZ8le5wLZrSptDoEZBY4ucCnK7IwHRvrn+k9kpgekbeemp/2rJPFazF7oP43P2E6vZYeqtPgukfrLaWOn3hnMD03Fa+Zvdzy1+YkI40Ttq9JXjfUbDhi/IzE/uI5H2yljPsmkRURhg4/x+pkqjZ9njIHApAKxvs8N+mZgr9loaOsre42fgdvsMjNyOxIUaEJ23VAchoUFzhGplpQaEoH/JGaQM34Q3zqvRtPH8DoX2G5RbXMIqJ9HNwlpB18/RIz0z/WfyEwhLe1N4QlFtY9ezF7hv7yI0gKyA2njf9+4FLVhDXj+CieNGcwPiusrHWvkE69vetxMXdxrx9K5sfxivsJ2II8MxfzgOh5ttxEKn5HPMbLvyzxCPm8tlK4pDpW7YiAm9L/eviDxg3NTeMY3/rzjV74BvTF2Yg9K/aB9Mr+WgG0jmRm5ncHkfyZQERJIle9EyhtQwLvbc4qaM5zyQ8sdXZSUvQXqbg4rS0Hysvi8lMTlWsucvLT6b6R/rv9EZlpmGY8USflYQn/ekgKk1sfWmJ3pvzwGpI0daUfXcNgI8w0gjDW5vudvM9sZzA+BxU+gTSTdlA03FlrnZyVsaiAuwuat8yPny+ZG+5PYJjq+gTAfA9tFMOYH2iij7Q4s+VL9ojEKChmNo3CtN7W1Vn2EAlG/PyxeY1kf2Zw+YwxAYh+jwiy+vlMUrpzyTedeA1Ffhj64Y/oezuUUhSuH82QyM0IIIYQQQmbw5cv/Ac2/kbuWGPJNAAAAAElFTkSuQmCC">
          <a:extLst>
            <a:ext uri="{FF2B5EF4-FFF2-40B4-BE49-F238E27FC236}">
              <a16:creationId xmlns:a16="http://schemas.microsoft.com/office/drawing/2014/main" id="{7A6E68FE-4FAE-41BE-B2FB-87CE005D931D}"/>
            </a:ext>
          </a:extLst>
        </xdr:cNvPr>
        <xdr:cNvSpPr>
          <a:spLocks noChangeAspect="1" noChangeArrowheads="1"/>
        </xdr:cNvSpPr>
      </xdr:nvSpPr>
      <xdr:spPr bwMode="auto">
        <a:xfrm>
          <a:off x="28003500" y="8048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c:userShapes xmlns:c="http://schemas.openxmlformats.org/drawingml/2006/chart">
  <cdr:relSizeAnchor xmlns:cdr="http://schemas.openxmlformats.org/drawingml/2006/chartDrawing">
    <cdr:from>
      <cdr:x>0.76631</cdr:x>
      <cdr:y>0.8993</cdr:y>
    </cdr:from>
    <cdr:to>
      <cdr:x>0.96016</cdr:x>
      <cdr:y>0.94412</cdr:y>
    </cdr:to>
    <cdr:sp macro="" textlink="">
      <cdr:nvSpPr>
        <cdr:cNvPr id="2" name="Textfeld 1"/>
        <cdr:cNvSpPr txBox="1"/>
      </cdr:nvSpPr>
      <cdr:spPr>
        <a:xfrm xmlns:a="http://schemas.openxmlformats.org/drawingml/2006/main">
          <a:off x="6946483" y="7291792"/>
          <a:ext cx="1757213" cy="36341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0.34088</cdr:x>
      <cdr:y>0.62391</cdr:y>
    </cdr:from>
    <cdr:to>
      <cdr:x>0.96694</cdr:x>
      <cdr:y>0.83356</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090032" y="4770204"/>
          <a:ext cx="5675112" cy="160292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cost for refugees. Does not include private donations,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 </a:t>
          </a:r>
          <a:r>
            <a:rPr lang="de-DE" sz="1600" b="0" baseline="0">
              <a:effectLst/>
              <a:latin typeface="Times New Roman" panose="02020603050405020304" pitchFamily="18" charset="0"/>
              <a:ea typeface="+mn-ea"/>
              <a:cs typeface="Times New Roman" panose="02020603050405020304" pitchFamily="18" charset="0"/>
            </a:rPr>
            <a:t>Commitments by EU Institutions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include Commission and Council, MFA, EPF and EIB funds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can also be added to individual EU countries (see Figures 4 and A1).</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333375</xdr:colOff>
      <xdr:row>5</xdr:row>
      <xdr:rowOff>161925</xdr:rowOff>
    </xdr:from>
    <xdr:to>
      <xdr:col>16</xdr:col>
      <xdr:colOff>293914</xdr:colOff>
      <xdr:row>46</xdr:row>
      <xdr:rowOff>152400</xdr:rowOff>
    </xdr:to>
    <xdr:graphicFrame macro="">
      <xdr:nvGraphicFramePr>
        <xdr:cNvPr id="2" name="Diagramm 1">
          <a:extLst>
            <a:ext uri="{FF2B5EF4-FFF2-40B4-BE49-F238E27FC236}">
              <a16:creationId xmlns:a16="http://schemas.microsoft.com/office/drawing/2014/main" id="{8D2313FD-1C90-094C-A12C-57AB26562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0.81336</cdr:x>
      <cdr:y>0.91092</cdr:y>
    </cdr:from>
    <cdr:to>
      <cdr:x>0.93543</cdr:x>
      <cdr:y>0.95472</cdr:y>
    </cdr:to>
    <cdr:sp macro="" textlink="">
      <cdr:nvSpPr>
        <cdr:cNvPr id="2" name="Textfeld 1"/>
        <cdr:cNvSpPr txBox="1"/>
      </cdr:nvSpPr>
      <cdr:spPr>
        <a:xfrm xmlns:a="http://schemas.openxmlformats.org/drawingml/2006/main">
          <a:off x="6794329" y="6975932"/>
          <a:ext cx="1019703" cy="335424"/>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0.2672</cdr:x>
      <cdr:y>0.50663</cdr:y>
    </cdr:from>
    <cdr:to>
      <cdr:x>0.95751</cdr:x>
      <cdr:y>0.60821</cdr:y>
    </cdr:to>
    <cdr:sp macro="" textlink="">
      <cdr:nvSpPr>
        <cdr:cNvPr id="4" name="Textfeld 1">
          <a:extLst xmlns:a="http://schemas.openxmlformats.org/drawingml/2006/main">
            <a:ext uri="{FF2B5EF4-FFF2-40B4-BE49-F238E27FC236}">
              <a16:creationId xmlns:a16="http://schemas.microsoft.com/office/drawing/2014/main" id="{14EEFC85-6355-4ED2-89E3-513C8C2583B8}"/>
            </a:ext>
          </a:extLst>
        </cdr:cNvPr>
        <cdr:cNvSpPr txBox="1"/>
      </cdr:nvSpPr>
      <cdr:spPr>
        <a:xfrm xmlns:a="http://schemas.openxmlformats.org/drawingml/2006/main">
          <a:off x="2262576" y="3879824"/>
          <a:ext cx="5845355" cy="77790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donations, support for refugees outside of Ukraine,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676276</xdr:colOff>
      <xdr:row>5</xdr:row>
      <xdr:rowOff>57150</xdr:rowOff>
    </xdr:from>
    <xdr:to>
      <xdr:col>20</xdr:col>
      <xdr:colOff>333376</xdr:colOff>
      <xdr:row>27</xdr:row>
      <xdr:rowOff>85725</xdr:rowOff>
    </xdr:to>
    <xdr:graphicFrame macro="">
      <xdr:nvGraphicFramePr>
        <xdr:cNvPr id="8" name="Diagramm 1">
          <a:extLst>
            <a:ext uri="{FF2B5EF4-FFF2-40B4-BE49-F238E27FC236}">
              <a16:creationId xmlns:a16="http://schemas.microsoft.com/office/drawing/2014/main" id="{117E0494-2F84-426C-950C-C98C71AA5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0.84278</cdr:x>
      <cdr:y>0.8064</cdr:y>
    </cdr:from>
    <cdr:to>
      <cdr:x>0.96485</cdr:x>
      <cdr:y>0.86667</cdr:y>
    </cdr:to>
    <cdr:sp macro="" textlink="">
      <cdr:nvSpPr>
        <cdr:cNvPr id="2" name="Textfeld 1"/>
        <cdr:cNvSpPr txBox="1"/>
      </cdr:nvSpPr>
      <cdr:spPr>
        <a:xfrm xmlns:a="http://schemas.openxmlformats.org/drawingml/2006/main">
          <a:off x="7802754" y="3571635"/>
          <a:ext cx="1130161" cy="26693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27.xml><?xml version="1.0" encoding="utf-8"?>
<xdr:wsDr xmlns:xdr="http://schemas.openxmlformats.org/drawingml/2006/spreadsheetDrawing" xmlns:a="http://schemas.openxmlformats.org/drawingml/2006/main">
  <xdr:twoCellAnchor>
    <xdr:from>
      <xdr:col>12</xdr:col>
      <xdr:colOff>0</xdr:colOff>
      <xdr:row>41</xdr:row>
      <xdr:rowOff>76199</xdr:rowOff>
    </xdr:from>
    <xdr:to>
      <xdr:col>21</xdr:col>
      <xdr:colOff>0</xdr:colOff>
      <xdr:row>61</xdr:row>
      <xdr:rowOff>123824</xdr:rowOff>
    </xdr:to>
    <xdr:graphicFrame macro="">
      <xdr:nvGraphicFramePr>
        <xdr:cNvPr id="4" name="Chart 3">
          <a:extLst>
            <a:ext uri="{FF2B5EF4-FFF2-40B4-BE49-F238E27FC236}">
              <a16:creationId xmlns:a16="http://schemas.microsoft.com/office/drawing/2014/main" id="{8F1F2BDD-B28F-B81B-31EF-9D527F474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21</xdr:row>
      <xdr:rowOff>0</xdr:rowOff>
    </xdr:from>
    <xdr:to>
      <xdr:col>21</xdr:col>
      <xdr:colOff>0</xdr:colOff>
      <xdr:row>41</xdr:row>
      <xdr:rowOff>47625</xdr:rowOff>
    </xdr:to>
    <xdr:graphicFrame macro="">
      <xdr:nvGraphicFramePr>
        <xdr:cNvPr id="5" name="Chart 4">
          <a:extLst>
            <a:ext uri="{FF2B5EF4-FFF2-40B4-BE49-F238E27FC236}">
              <a16:creationId xmlns:a16="http://schemas.microsoft.com/office/drawing/2014/main" id="{86EB7C73-BA88-4FC1-9EF0-7062E791D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0.0772</cdr:x>
      <cdr:y>0.01811</cdr:y>
    </cdr:from>
    <cdr:to>
      <cdr:x>0.24883</cdr:x>
      <cdr:y>0.08642</cdr:y>
    </cdr:to>
    <cdr:sp macro="" textlink="">
      <cdr:nvSpPr>
        <cdr:cNvPr id="2" name="Textfeld 1">
          <a:extLst xmlns:a="http://schemas.openxmlformats.org/drawingml/2006/main">
            <a:ext uri="{FF2B5EF4-FFF2-40B4-BE49-F238E27FC236}">
              <a16:creationId xmlns:a16="http://schemas.microsoft.com/office/drawing/2014/main" id="{726AFBFA-6111-0088-C685-31D66B7DCA19}"/>
            </a:ext>
          </a:extLst>
        </cdr:cNvPr>
        <cdr:cNvSpPr txBox="1"/>
      </cdr:nvSpPr>
      <cdr:spPr>
        <a:xfrm xmlns:a="http://schemas.openxmlformats.org/drawingml/2006/main">
          <a:off x="469899" y="69850"/>
          <a:ext cx="1044575" cy="26352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29.xml><?xml version="1.0" encoding="utf-8"?>
<c:userShapes xmlns:c="http://schemas.openxmlformats.org/drawingml/2006/chart">
  <cdr:relSizeAnchor xmlns:cdr="http://schemas.openxmlformats.org/drawingml/2006/chartDrawing">
    <cdr:from>
      <cdr:x>0.0772</cdr:x>
      <cdr:y>0.01811</cdr:y>
    </cdr:from>
    <cdr:to>
      <cdr:x>0.24883</cdr:x>
      <cdr:y>0.08642</cdr:y>
    </cdr:to>
    <cdr:sp macro="" textlink="">
      <cdr:nvSpPr>
        <cdr:cNvPr id="2" name="Textfeld 1">
          <a:extLst xmlns:a="http://schemas.openxmlformats.org/drawingml/2006/main">
            <a:ext uri="{FF2B5EF4-FFF2-40B4-BE49-F238E27FC236}">
              <a16:creationId xmlns:a16="http://schemas.microsoft.com/office/drawing/2014/main" id="{726AFBFA-6111-0088-C685-31D66B7DCA19}"/>
            </a:ext>
          </a:extLst>
        </cdr:cNvPr>
        <cdr:cNvSpPr txBox="1"/>
      </cdr:nvSpPr>
      <cdr:spPr>
        <a:xfrm xmlns:a="http://schemas.openxmlformats.org/drawingml/2006/main">
          <a:off x="469899" y="69850"/>
          <a:ext cx="1044575" cy="26352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714375</xdr:colOff>
      <xdr:row>5</xdr:row>
      <xdr:rowOff>47625</xdr:rowOff>
    </xdr:from>
    <xdr:to>
      <xdr:col>15</xdr:col>
      <xdr:colOff>447675</xdr:colOff>
      <xdr:row>51</xdr:row>
      <xdr:rowOff>123825</xdr:rowOff>
    </xdr:to>
    <xdr:graphicFrame macro="">
      <xdr:nvGraphicFramePr>
        <xdr:cNvPr id="2" name="Diagramm 1">
          <a:extLst>
            <a:ext uri="{FF2B5EF4-FFF2-40B4-BE49-F238E27FC236}">
              <a16:creationId xmlns:a16="http://schemas.microsoft.com/office/drawing/2014/main" id="{AE743395-AF7F-B345-BCD8-A21F152C9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297329</xdr:colOff>
      <xdr:row>34</xdr:row>
      <xdr:rowOff>132603</xdr:rowOff>
    </xdr:from>
    <xdr:to>
      <xdr:col>21</xdr:col>
      <xdr:colOff>586836</xdr:colOff>
      <xdr:row>37</xdr:row>
      <xdr:rowOff>33155</xdr:rowOff>
    </xdr:to>
    <xdr:sp macro="" textlink="">
      <xdr:nvSpPr>
        <xdr:cNvPr id="14" name="Textfeld 48">
          <a:extLst>
            <a:ext uri="{FF2B5EF4-FFF2-40B4-BE49-F238E27FC236}">
              <a16:creationId xmlns:a16="http://schemas.microsoft.com/office/drawing/2014/main" id="{741EE494-DECC-423E-A61F-2B04A2A7EB8C}"/>
            </a:ext>
          </a:extLst>
        </xdr:cNvPr>
        <xdr:cNvSpPr txBox="1"/>
      </xdr:nvSpPr>
      <xdr:spPr>
        <a:xfrm>
          <a:off x="18540505" y="6699250"/>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xdr:from>
      <xdr:col>30</xdr:col>
      <xdr:colOff>49306</xdr:colOff>
      <xdr:row>35</xdr:row>
      <xdr:rowOff>34552</xdr:rowOff>
    </xdr:from>
    <xdr:to>
      <xdr:col>36</xdr:col>
      <xdr:colOff>338813</xdr:colOff>
      <xdr:row>37</xdr:row>
      <xdr:rowOff>125604</xdr:rowOff>
    </xdr:to>
    <xdr:sp macro="" textlink="">
      <xdr:nvSpPr>
        <xdr:cNvPr id="21" name="Textfeld 48">
          <a:extLst>
            <a:ext uri="{FF2B5EF4-FFF2-40B4-BE49-F238E27FC236}">
              <a16:creationId xmlns:a16="http://schemas.microsoft.com/office/drawing/2014/main" id="{C7C7599A-F4CB-446B-A19C-CD1401F91BB6}"/>
            </a:ext>
          </a:extLst>
        </xdr:cNvPr>
        <xdr:cNvSpPr txBox="1"/>
      </xdr:nvSpPr>
      <xdr:spPr>
        <a:xfrm>
          <a:off x="31403365" y="6791699"/>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Quelle: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19050</xdr:colOff>
      <xdr:row>0</xdr:row>
      <xdr:rowOff>9525</xdr:rowOff>
    </xdr:from>
    <xdr:to>
      <xdr:col>23</xdr:col>
      <xdr:colOff>171450</xdr:colOff>
      <xdr:row>19</xdr:row>
      <xdr:rowOff>104775</xdr:rowOff>
    </xdr:to>
    <xdr:graphicFrame macro="">
      <xdr:nvGraphicFramePr>
        <xdr:cNvPr id="3" name="Chart 2">
          <a:extLst>
            <a:ext uri="{FF2B5EF4-FFF2-40B4-BE49-F238E27FC236}">
              <a16:creationId xmlns:a16="http://schemas.microsoft.com/office/drawing/2014/main" id="{EA4043DE-F5BE-4B59-8673-2E762E599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0.0772</cdr:x>
      <cdr:y>0.01811</cdr:y>
    </cdr:from>
    <cdr:to>
      <cdr:x>0.24883</cdr:x>
      <cdr:y>0.08642</cdr:y>
    </cdr:to>
    <cdr:sp macro="" textlink="">
      <cdr:nvSpPr>
        <cdr:cNvPr id="2" name="Textfeld 1">
          <a:extLst xmlns:a="http://schemas.openxmlformats.org/drawingml/2006/main">
            <a:ext uri="{FF2B5EF4-FFF2-40B4-BE49-F238E27FC236}">
              <a16:creationId xmlns:a16="http://schemas.microsoft.com/office/drawing/2014/main" id="{726AFBFA-6111-0088-C685-31D66B7DCA19}"/>
            </a:ext>
          </a:extLst>
        </cdr:cNvPr>
        <cdr:cNvSpPr txBox="1"/>
      </cdr:nvSpPr>
      <cdr:spPr>
        <a:xfrm xmlns:a="http://schemas.openxmlformats.org/drawingml/2006/main">
          <a:off x="469899" y="69850"/>
          <a:ext cx="1044575" cy="26352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4.xml><?xml version="1.0" encoding="utf-8"?>
<c:userShapes xmlns:c="http://schemas.openxmlformats.org/drawingml/2006/chart">
  <cdr:relSizeAnchor xmlns:cdr="http://schemas.openxmlformats.org/drawingml/2006/chartDrawing">
    <cdr:from>
      <cdr:x>0.84919</cdr:x>
      <cdr:y>0.89459</cdr:y>
    </cdr:from>
    <cdr:to>
      <cdr:x>0.96121</cdr:x>
      <cdr:y>0.93914</cdr:y>
    </cdr:to>
    <cdr:sp macro="" textlink="">
      <cdr:nvSpPr>
        <cdr:cNvPr id="2" name="Textfeld 1"/>
        <cdr:cNvSpPr txBox="1"/>
      </cdr:nvSpPr>
      <cdr:spPr>
        <a:xfrm xmlns:a="http://schemas.openxmlformats.org/drawingml/2006/main">
          <a:off x="10201090" y="7054837"/>
          <a:ext cx="1345639" cy="35131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0.26757</cdr:x>
      <cdr:y>0.5413</cdr:y>
    </cdr:from>
    <cdr:to>
      <cdr:x>0.87638</cdr:x>
      <cdr:y>0.70576</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171920" y="5502063"/>
          <a:ext cx="7217133" cy="167162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ea typeface="+mn-ea"/>
              <a:cs typeface="Times New Roman" panose="02020603050405020304" pitchFamily="18" charset="0"/>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139401</xdr:colOff>
      <xdr:row>5</xdr:row>
      <xdr:rowOff>79112</xdr:rowOff>
    </xdr:from>
    <xdr:to>
      <xdr:col>15</xdr:col>
      <xdr:colOff>607694</xdr:colOff>
      <xdr:row>50</xdr:row>
      <xdr:rowOff>110600</xdr:rowOff>
    </xdr:to>
    <xdr:graphicFrame macro="">
      <xdr:nvGraphicFramePr>
        <xdr:cNvPr id="2" name="Diagramm 1">
          <a:extLst>
            <a:ext uri="{FF2B5EF4-FFF2-40B4-BE49-F238E27FC236}">
              <a16:creationId xmlns:a16="http://schemas.microsoft.com/office/drawing/2014/main" id="{24639F4D-E208-E849-92B3-5E49F5BE4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50800</xdr:colOff>
      <xdr:row>35</xdr:row>
      <xdr:rowOff>9525</xdr:rowOff>
    </xdr:from>
    <xdr:to>
      <xdr:col>22</xdr:col>
      <xdr:colOff>323685</xdr:colOff>
      <xdr:row>37</xdr:row>
      <xdr:rowOff>100577</xdr:rowOff>
    </xdr:to>
    <xdr:sp macro="" textlink="">
      <xdr:nvSpPr>
        <xdr:cNvPr id="7" name="Textfeld 48">
          <a:extLst>
            <a:ext uri="{FF2B5EF4-FFF2-40B4-BE49-F238E27FC236}">
              <a16:creationId xmlns:a16="http://schemas.microsoft.com/office/drawing/2014/main" id="{2118365C-C099-4DCA-AD9A-A13A578DE7D4}"/>
            </a:ext>
          </a:extLst>
        </xdr:cNvPr>
        <xdr:cNvSpPr txBox="1"/>
      </xdr:nvSpPr>
      <xdr:spPr>
        <a:xfrm>
          <a:off x="1479550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0.81969</cdr:x>
      <cdr:y>0.89498</cdr:y>
    </cdr:from>
    <cdr:to>
      <cdr:x>0.95103</cdr:x>
      <cdr:y>0.92898</cdr:y>
    </cdr:to>
    <cdr:sp macro="" textlink="">
      <cdr:nvSpPr>
        <cdr:cNvPr id="2" name="Textfeld 1"/>
        <cdr:cNvSpPr txBox="1"/>
      </cdr:nvSpPr>
      <cdr:spPr>
        <a:xfrm xmlns:a="http://schemas.openxmlformats.org/drawingml/2006/main">
          <a:off x="8266693" y="7727475"/>
          <a:ext cx="1324618" cy="29358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0.24194</cdr:x>
      <cdr:y>0.44036</cdr:y>
    </cdr:from>
    <cdr:to>
      <cdr:x>0.94058</cdr:x>
      <cdr:y>0.6391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451913" y="3905820"/>
          <a:ext cx="7080358" cy="176273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effectLst/>
              <a:latin typeface="Times New Roman" panose="02020603050405020304" pitchFamily="18" charset="0"/>
              <a:ea typeface="+mn-ea"/>
              <a:cs typeface="Times New Roman" panose="02020603050405020304" pitchFamily="18" charset="0"/>
            </a:rPr>
            <a:t>Includes</a:t>
          </a:r>
          <a:r>
            <a:rPr lang="de-DE" sz="1600" b="0" baseline="0">
              <a:effectLst/>
              <a:latin typeface="Times New Roman" panose="02020603050405020304" pitchFamily="18" charset="0"/>
              <a:ea typeface="+mn-ea"/>
              <a:cs typeface="Times New Roman" panose="02020603050405020304" pitchFamily="18" charset="0"/>
            </a:rPr>
            <a:t> bilateral commitments to Ukraine. Does not include private donations,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are counted as military aid.</a:t>
          </a:r>
          <a:r>
            <a:rPr lang="de-DE" sz="1600" b="0" baseline="0">
              <a:effectLst/>
              <a:latin typeface="Times New Roman" panose="02020603050405020304" pitchFamily="18" charset="0"/>
              <a:ea typeface="+mn-ea"/>
              <a:cs typeface="Times New Roman" panose="02020603050405020304" pitchFamily="18" charset="0"/>
            </a:rPr>
            <a:t> </a:t>
          </a:r>
          <a:endParaRPr lang="de-DE" sz="1600">
            <a:effectLst/>
            <a:latin typeface="Times New Roman" panose="02020603050405020304" pitchFamily="18" charset="0"/>
            <a:cs typeface="Times New Roman" panose="02020603050405020304"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76200</xdr:colOff>
      <xdr:row>5</xdr:row>
      <xdr:rowOff>123825</xdr:rowOff>
    </xdr:from>
    <xdr:to>
      <xdr:col>18</xdr:col>
      <xdr:colOff>533400</xdr:colOff>
      <xdr:row>54</xdr:row>
      <xdr:rowOff>104775</xdr:rowOff>
    </xdr:to>
    <xdr:graphicFrame macro="">
      <xdr:nvGraphicFramePr>
        <xdr:cNvPr id="2" name="Diagramm 1">
          <a:extLst>
            <a:ext uri="{FF2B5EF4-FFF2-40B4-BE49-F238E27FC236}">
              <a16:creationId xmlns:a16="http://schemas.microsoft.com/office/drawing/2014/main" id="{91CF7D32-F917-4560-8E4A-25866AA57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48559</xdr:colOff>
      <xdr:row>36</xdr:row>
      <xdr:rowOff>99695</xdr:rowOff>
    </xdr:from>
    <xdr:to>
      <xdr:col>27</xdr:col>
      <xdr:colOff>311172</xdr:colOff>
      <xdr:row>39</xdr:row>
      <xdr:rowOff>247</xdr:rowOff>
    </xdr:to>
    <xdr:sp macro="" textlink="">
      <xdr:nvSpPr>
        <xdr:cNvPr id="9" name="Textfeld 48">
          <a:extLst>
            <a:ext uri="{FF2B5EF4-FFF2-40B4-BE49-F238E27FC236}">
              <a16:creationId xmlns:a16="http://schemas.microsoft.com/office/drawing/2014/main" id="{7967525E-D9EB-4DEA-9B6F-A7CD71D4CE67}"/>
            </a:ext>
          </a:extLst>
        </xdr:cNvPr>
        <xdr:cNvSpPr txBox="1"/>
      </xdr:nvSpPr>
      <xdr:spPr>
        <a:xfrm>
          <a:off x="18222259" y="7005320"/>
          <a:ext cx="5520413"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0.80238</cdr:x>
      <cdr:y>0.89617</cdr:y>
    </cdr:from>
    <cdr:to>
      <cdr:x>0.94744</cdr:x>
      <cdr:y>0.93444</cdr:y>
    </cdr:to>
    <cdr:sp macro="" textlink="">
      <cdr:nvSpPr>
        <cdr:cNvPr id="2" name="Textfeld 1"/>
        <cdr:cNvSpPr txBox="1"/>
      </cdr:nvSpPr>
      <cdr:spPr>
        <a:xfrm xmlns:a="http://schemas.openxmlformats.org/drawingml/2006/main">
          <a:off x="7464368" y="7030814"/>
          <a:ext cx="1349432" cy="30026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0.33021</cdr:x>
      <cdr:y>0.56679</cdr:y>
    </cdr:from>
    <cdr:to>
      <cdr:x>0.95114</cdr:x>
      <cdr:y>0.6421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805782" y="5510254"/>
          <a:ext cx="7156373" cy="73215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support for refugees outside of Ukraine, and aid by 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171450</xdr:colOff>
      <xdr:row>7</xdr:row>
      <xdr:rowOff>38100</xdr:rowOff>
    </xdr:from>
    <xdr:to>
      <xdr:col>17</xdr:col>
      <xdr:colOff>495300</xdr:colOff>
      <xdr:row>52</xdr:row>
      <xdr:rowOff>76200</xdr:rowOff>
    </xdr:to>
    <xdr:graphicFrame macro="">
      <xdr:nvGraphicFramePr>
        <xdr:cNvPr id="10" name="Diagramm 1">
          <a:extLst>
            <a:ext uri="{FF2B5EF4-FFF2-40B4-BE49-F238E27FC236}">
              <a16:creationId xmlns:a16="http://schemas.microsoft.com/office/drawing/2014/main" id="{DC102B4F-9F21-4966-BA45-228BD2C01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xdr:colOff>
      <xdr:row>38</xdr:row>
      <xdr:rowOff>30069</xdr:rowOff>
    </xdr:from>
    <xdr:to>
      <xdr:col>26</xdr:col>
      <xdr:colOff>327607</xdr:colOff>
      <xdr:row>40</xdr:row>
      <xdr:rowOff>121121</xdr:rowOff>
    </xdr:to>
    <xdr:sp macro="" textlink="">
      <xdr:nvSpPr>
        <xdr:cNvPr id="7" name="Textfeld 48">
          <a:extLst>
            <a:ext uri="{FF2B5EF4-FFF2-40B4-BE49-F238E27FC236}">
              <a16:creationId xmlns:a16="http://schemas.microsoft.com/office/drawing/2014/main" id="{47C845B4-7902-4708-A8BA-ECAABA8AE6EA}"/>
            </a:ext>
          </a:extLst>
        </xdr:cNvPr>
        <xdr:cNvSpPr txBox="1"/>
      </xdr:nvSpPr>
      <xdr:spPr>
        <a:xfrm>
          <a:off x="22741218" y="7739716"/>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1.bin"/><Relationship Id="rId1" Type="http://schemas.openxmlformats.org/officeDocument/2006/relationships/hyperlink" Target="https://mof.gov.ua/en/news/ukraines_state_budget_financing_since_the_beginning_of_the_full-scale_war-3435"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info/sites/default/files/about_the_european_commission/eu_budget/2021-06-09_spending_and_revenue.xlsx" TargetMode="Externa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eur-lex.europa.eu/legal-content/EN/TXT/HTML/?uri=CELEX:32021D0509&amp;from=EN" TargetMode="External"/><Relationship Id="rId4"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ib.org/en/about/governance-and-structure/shareholders/index.ht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data.unhcr.org/en/situations/ukraine" TargetMode="Externa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politico.com/news/2022/03/22/ukraine-weapons-military-aid-00019104" TargetMode="External"/><Relationship Id="rId671" Type="http://schemas.openxmlformats.org/officeDocument/2006/relationships/hyperlink" Target="https://www.government.se/press-releases/2022/06/additional-amending-budget-with-further-support-to-ukraine/" TargetMode="External"/><Relationship Id="rId769" Type="http://schemas.openxmlformats.org/officeDocument/2006/relationships/hyperlink" Target="https://www.peterdutton.com.au/australia-to-provide-armoured-personnel-carriers-and-more-bushmasters-to-ukraine/" TargetMode="External"/><Relationship Id="rId21" Type="http://schemas.openxmlformats.org/officeDocument/2006/relationships/hyperlink" Target="https://sum.dk/nyheder/2022/marts/danmark-donerer-medicin-og-medicinsk-udstyr-til-ukraine" TargetMode="External"/><Relationship Id="rId324" Type="http://schemas.openxmlformats.org/officeDocument/2006/relationships/hyperlink" Target="https://www.regjeringen.no/en/topics/foreign-affairs/humanitarian-efforts/neighbour_support/id2908141/" TargetMode="External"/><Relationship Id="rId531" Type="http://schemas.openxmlformats.org/officeDocument/2006/relationships/hyperlink" Target="https://www.aa.com.tr/en/russia-ukraine-war/norway-sends-roughly-100-anti-aircraft-missiles-to-ukraine/2568447" TargetMode="External"/><Relationship Id="rId629" Type="http://schemas.openxmlformats.org/officeDocument/2006/relationships/hyperlink" Target="https://pmtranscripts.pmc.gov.au/release/transcript-43950" TargetMode="External"/><Relationship Id="rId170" Type="http://schemas.openxmlformats.org/officeDocument/2006/relationships/hyperlink" Target="https://www.lamoncloa.gob.es/lang/en/gobierno/news/Paginas/2022/20220227_aid-to-ukraine.aspx" TargetMode="External"/><Relationship Id="rId836" Type="http://schemas.openxmlformats.org/officeDocument/2006/relationships/hyperlink" Target="https://www.armyrecognition.com/defense_news_may_2022_global_security_army_industry/poland_delivers_to_ukraine_18_krab_155mm_self-propelled_howitzers.html" TargetMode="External"/><Relationship Id="rId268" Type="http://schemas.openxmlformats.org/officeDocument/2006/relationships/hyperlink" Target="https://valtioneuvosto.fi/en/-/finland-to-send-arms-assistance-to-ukraine" TargetMode="External"/><Relationship Id="rId475" Type="http://schemas.openxmlformats.org/officeDocument/2006/relationships/hyperlink" Target="https://www.ilmessaggero.it/politica/armi_ucraina_italia_guerini_conte_draghi_costo_cosa_succede_governo_ultime_notizie-6652159.html" TargetMode="External"/><Relationship Id="rId682" Type="http://schemas.openxmlformats.org/officeDocument/2006/relationships/hyperlink" Target="https://www.defense.gov/News/Releases/Release/Article/3007664/fact-sheet-on-us-security-assistance-for-ukraine-roll-up-as-of-april-21-2022/" TargetMode="External"/><Relationship Id="rId32" Type="http://schemas.openxmlformats.org/officeDocument/2006/relationships/hyperlink" Target="https://ua.interfax.com.ua/news/general/804360.html" TargetMode="External"/><Relationship Id="rId128" Type="http://schemas.openxmlformats.org/officeDocument/2006/relationships/hyperlink" Target="https://www.usaid.gov/news-information/press-releases/mar-10-2022-united-states-announces-additional-humanitarian-assistance?msclkid=fc0f8e8dae8611ecaad8dc70eab615cc" TargetMode="External"/><Relationship Id="rId335" Type="http://schemas.openxmlformats.org/officeDocument/2006/relationships/hyperlink" Target="https://www.youtube.com/watch?v=vzENx6dTpqY" TargetMode="External"/><Relationship Id="rId542" Type="http://schemas.openxmlformats.org/officeDocument/2006/relationships/hyperlink" Target="https://www.bbc.com/news/world-europe-61482305" TargetMode="External"/><Relationship Id="rId181" Type="http://schemas.openxmlformats.org/officeDocument/2006/relationships/hyperlink" Target="https://www.gov.si/en/news/2022-03-07-eu-development-ministers-on-emergency-humanitarian-aid-to-ukraine/" TargetMode="External"/><Relationship Id="rId402" Type="http://schemas.openxmlformats.org/officeDocument/2006/relationships/hyperlink" Target="https://war.ukraine.ua/news/19207/" TargetMode="External"/><Relationship Id="rId847" Type="http://schemas.openxmlformats.org/officeDocument/2006/relationships/hyperlink" Target="https://n1info.si/novice/svet/slovenija-ukrajini-ze-poslala-puske-streliva-in-celade/" TargetMode="External"/><Relationship Id="rId279" Type="http://schemas.openxmlformats.org/officeDocument/2006/relationships/hyperlink" Target="https://www.lesechos.fr/monde/enjeux-internationaux/la-france-renforce-son-soutien-militaire-a-lukraine-1389929" TargetMode="External"/><Relationship Id="rId486" Type="http://schemas.openxmlformats.org/officeDocument/2006/relationships/hyperlink" Target="https://www.france24.com/en/live-news/20220601-arms-for-ukraine-who-has-sent-what" TargetMode="External"/><Relationship Id="rId693" Type="http://schemas.openxmlformats.org/officeDocument/2006/relationships/hyperlink" Target="https://www.defense.gov/News/News-Stories/Article/Article/2955960/us-provided-more-than-1-billion-in-security-assistance-to-ukraine-in-past-year/" TargetMode="External"/><Relationship Id="rId707" Type="http://schemas.openxmlformats.org/officeDocument/2006/relationships/hyperlink" Target="https://www.armyrecognition.com/ukraine_-_russia_conflict_war_2022/mamba_mk_2_4x4_armored_vehicles_formerly_from_estonian_army_now_used_by_ukrainian_soldiers.html?jampmain" TargetMode="External"/><Relationship Id="rId43" Type="http://schemas.openxmlformats.org/officeDocument/2006/relationships/hyperlink" Target="https://www.jutarnji.hr/vijesti/hrvatska/donesen-paket-mjera-za-ukrajinu-hrvatska-salje-opremu-i-naoruzanje-u-vrijednosti-124-milijuna-kuna-15163892" TargetMode="External"/><Relationship Id="rId139" Type="http://schemas.openxmlformats.org/officeDocument/2006/relationships/hyperlink" Target="https://www.aa.com.tr/en/europe/spain-to-send-weapons-to-ukrainian-forces/2520902" TargetMode="External"/><Relationship Id="rId346" Type="http://schemas.openxmlformats.org/officeDocument/2006/relationships/hyperlink" Target="https://www.regjeringen.no/en/aktuelt/ukrainefund/id2909840/" TargetMode="External"/><Relationship Id="rId553" Type="http://schemas.openxmlformats.org/officeDocument/2006/relationships/hyperlink" Target="https://www.consilium.europa.eu/de/press/press-releases/2022/04/13/eu-support-to-ukraine-council-agrees-on-third-tranche-of-support-under-the-european-peace-facility-for-total-1-5-billion/" TargetMode="External"/><Relationship Id="rId760" Type="http://schemas.openxmlformats.org/officeDocument/2006/relationships/hyperlink" Target="https://www.news18.com/news/world/ukraine-asks-for-military-aid-from-world-netherlands-us-among-25-countries-to-provide-support-4814291.html" TargetMode="External"/><Relationship Id="rId192" Type="http://schemas.openxmlformats.org/officeDocument/2006/relationships/hyperlink" Target="https://twitter.com/eduardheger/status/1495764246780645377" TargetMode="External"/><Relationship Id="rId206" Type="http://schemas.openxmlformats.org/officeDocument/2006/relationships/hyperlink" Target="https://www.defense.gov/News/Releases/Release/Article/3007664/fact-sheet-on-us-security-assistance-for-ukraine-roll-up-as-of-april-21-2022/" TargetMode="External"/><Relationship Id="rId413" Type="http://schemas.openxmlformats.org/officeDocument/2006/relationships/hyperlink" Target="https://www.cbc.ca/news/politics/anand-biggest-military-donation-ukraine-1.6463915" TargetMode="External"/><Relationship Id="rId858" Type="http://schemas.openxmlformats.org/officeDocument/2006/relationships/hyperlink" Target="https://appropriations.house.gov/sites/democrats.appropriations.house.gov/files/Ukraine%20Supplemental%20Summary.pdf" TargetMode="External"/><Relationship Id="rId497" Type="http://schemas.openxmlformats.org/officeDocument/2006/relationships/hyperlink" Target="https://frontnews.eu/en/news/details/30810" TargetMode="External"/><Relationship Id="rId620" Type="http://schemas.openxmlformats.org/officeDocument/2006/relationships/hyperlink" Target="https://www.rferl.org/a/czech-republic-poland-new-military-aid-ukraine/31873938.html" TargetMode="External"/><Relationship Id="rId718" Type="http://schemas.openxmlformats.org/officeDocument/2006/relationships/hyperlink" Target="https://edition.cnn.com/2022/04/09/europe/ukraine-uk-boris-johnson-intl-gbr/index.html" TargetMode="External"/><Relationship Id="rId357" Type="http://schemas.openxmlformats.org/officeDocument/2006/relationships/hyperlink" Target="https://www.defensenews.com/global/asia-pacific/2022/04/13/new-zealand-bolsters-support-for-ukraine/" TargetMode="External"/><Relationship Id="rId54" Type="http://schemas.openxmlformats.org/officeDocument/2006/relationships/hyperlink" Target="https://twitter.com/alexanderdecroo/status/1497542000228417537" TargetMode="External"/><Relationship Id="rId217" Type="http://schemas.openxmlformats.org/officeDocument/2006/relationships/hyperlink" Target="https://www.canada.ca/en/department-national-defence/news/2022/03/defence-minister-anand-announces-additional-military-support-to-ukraine.html?msclkid=50865665ab9011ecbb2d77d3ecd6e3a6" TargetMode="External"/><Relationship Id="rId564" Type="http://schemas.openxmlformats.org/officeDocument/2006/relationships/hyperlink" Target="https://ec.europa.eu/commission/presscorner/detail/en/ip_22_3121" TargetMode="External"/><Relationship Id="rId771" Type="http://schemas.openxmlformats.org/officeDocument/2006/relationships/hyperlink" Target="https://www.mofa.go.kr/eng/brd/m_5676/view.do?seq=322053" TargetMode="External"/><Relationship Id="rId869" Type="http://schemas.openxmlformats.org/officeDocument/2006/relationships/hyperlink" Target="https://www.state.gov/u-s-security-cooperation-with-ukraine/" TargetMode="External"/><Relationship Id="rId424" Type="http://schemas.openxmlformats.org/officeDocument/2006/relationships/hyperlink" Target="https://ukranews.com/en/news/853495-japan-decides-to-allocate-usd-100-million-loan-and-usd-2-3-million-grant-to-ukraine" TargetMode="External"/><Relationship Id="rId631"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729" Type="http://schemas.openxmlformats.org/officeDocument/2006/relationships/hyperlink" Target="https://intermin.fi/en/ukraine/civilian-assistance-to-ukraine" TargetMode="External"/><Relationship Id="rId270" Type="http://schemas.openxmlformats.org/officeDocument/2006/relationships/hyperlink" Target="https://www.army-technology.com/news/finland-sends-additional-defence-aid-ukraine/" TargetMode="External"/><Relationship Id="rId65" Type="http://schemas.openxmlformats.org/officeDocument/2006/relationships/hyperlink" Target="https://english.kyodonews.net/news/2022/04/00e4cd64dc1c-japan-to-offer-protective-masks-clothing-drones-to-ukraine.html" TargetMode="External"/><Relationship Id="rId130" Type="http://schemas.openxmlformats.org/officeDocument/2006/relationships/hyperlink" Target="https://www.nbp.pl/homen.aspx?f=/en/aktualnosci/2022/24.02-2.html" TargetMode="External"/><Relationship Id="rId368" Type="http://schemas.openxmlformats.org/officeDocument/2006/relationships/hyperlink" Target="https://consent.yahoo.com/v2/collectConsent?sessionId=3_cc-session_a65137b7-2008-4f6a-9d84-5817bf1a558b" TargetMode="External"/><Relationship Id="rId575" Type="http://schemas.openxmlformats.org/officeDocument/2006/relationships/hyperlink" Target="https://www.aa.com.tr/en/russia-ukraine-war/belgium-mulls-providing-heavy-weapons-to-ukraine/2568593" TargetMode="External"/><Relationship Id="rId782" Type="http://schemas.openxmlformats.org/officeDocument/2006/relationships/hyperlink" Target="https://www.vlada.cz/cz/media-centrum/aktualne/informace-v-souvislosti-s-invazi-ruska-na-ukrajinu-194507/" TargetMode="External"/><Relationship Id="rId228" Type="http://schemas.openxmlformats.org/officeDocument/2006/relationships/hyperlink" Target="https://twitter.com/SweMFA/status/1517445238142521346" TargetMode="External"/><Relationship Id="rId435" Type="http://schemas.openxmlformats.org/officeDocument/2006/relationships/hyperlink" Target="https://www.youtube.com/watch?v=A1nTsblXabc" TargetMode="External"/><Relationship Id="rId642" Type="http://schemas.openxmlformats.org/officeDocument/2006/relationships/hyperlink" Target="https://twitter.com/defesa_pt/status/1513633729666818052" TargetMode="External"/><Relationship Id="rId281" Type="http://schemas.openxmlformats.org/officeDocument/2006/relationships/hyperlink" Target="https://ua.interfax.com.ua/news/economic/796996.html" TargetMode="External"/><Relationship Id="rId502" Type="http://schemas.openxmlformats.org/officeDocument/2006/relationships/hyperlink" Target="https://www.strategypage.com/htmw/htart/articles/20220502.aspx" TargetMode="External"/><Relationship Id="rId76" Type="http://schemas.openxmlformats.org/officeDocument/2006/relationships/hyperlink" Target="https://bmi.gv.at/news.aspx?id=44786F67485A5049462F493D" TargetMode="External"/><Relationship Id="rId141" Type="http://schemas.openxmlformats.org/officeDocument/2006/relationships/hyperlink" Target="https://www.gov.uk/government/news/pm-announces-major-new-military-support-package-for-ukraine-24-march-2022" TargetMode="External"/><Relationship Id="rId379" Type="http://schemas.openxmlformats.org/officeDocument/2006/relationships/hyperlink" Target="https://pm.gc.ca/en/news/news-releases/2022/05/08/prime-minister-visits-kyiv-ukraine" TargetMode="External"/><Relationship Id="rId586" Type="http://schemas.openxmlformats.org/officeDocument/2006/relationships/hyperlink" Target="https://www.republicworld.com/world-news/russia-ukraine-crisis/greece-delivered-unbelievable-amount-of-military-equipment-to-ukraine-report-articleshow.html" TargetMode="External"/><Relationship Id="rId793" Type="http://schemas.openxmlformats.org/officeDocument/2006/relationships/hyperlink" Target="https://pm.gc.ca/en/news/backgrounders/2022/06/28/additional-canadian-support-ukraine-announced-2022-g7-summit" TargetMode="External"/><Relationship Id="rId807" Type="http://schemas.openxmlformats.org/officeDocument/2006/relationships/hyperlink" Target="https://www.bundesregierung.de/breg-de/themen/krieg-in-der-ukraine/lieferungen-ukraine-2054514" TargetMode="External"/><Relationship Id="rId7" Type="http://schemas.openxmlformats.org/officeDocument/2006/relationships/hyperlink" Target="https://www.independent.com.mt/articles/2022-02-25/local-news/Malta-to-send-humanitarian-aid-to-Ukrainian-people-6736240942" TargetMode="External"/><Relationship Id="rId239" Type="http://schemas.openxmlformats.org/officeDocument/2006/relationships/hyperlink" Target="https://www.reuters.com/world/europe/japan-trebles-loans-ukraine-300-mln-pm-kishida-other-leaders-2022-04-19/" TargetMode="External"/><Relationship Id="rId446" Type="http://schemas.openxmlformats.org/officeDocument/2006/relationships/hyperlink" Target="https://government.se/press-releases/2022/05/sweden-and-poland-co-host-international-donors-conference-to-support-ukrainian-people/" TargetMode="External"/><Relationship Id="rId653" Type="http://schemas.openxmlformats.org/officeDocument/2006/relationships/hyperlink" Target="https://www.ukrinform.net/rubric-polytics/3501933-estonia-has-provided-240m-in-military-aid-to-ukraine-korniyenko.html" TargetMode="External"/><Relationship Id="rId292" Type="http://schemas.openxmlformats.org/officeDocument/2006/relationships/hyperlink" Target="https://twitter.com/PrimeministerGR/status/1504800257447706626?ref_src=twsrc%5Etfw%7Ctwcamp%5Etweetembed%7Ctwterm%5E1504800257447706626%7Ctwgr%5E%7Ctwcon%5Es1_&amp;ref_url=https%3A%2F%2Fwww.keeptalkinggreece.com%2F2022%2F03%2F18%2Fgreece-rebuild-maternity-hospital-mariupol%2F" TargetMode="External"/><Relationship Id="rId306" Type="http://schemas.openxmlformats.org/officeDocument/2006/relationships/hyperlink" Target="https://babel.ua/en/news/78193-slovenia-will-provide-180-000-in-financial-assistance-to-ukraine" TargetMode="External"/><Relationship Id="rId860" Type="http://schemas.openxmlformats.org/officeDocument/2006/relationships/hyperlink" Target="https://www.defmin.fi/en/topical/press_releases_and_news/finland_sends_more_defence_materiel_assistance_to_ukraine.12834.news" TargetMode="External"/><Relationship Id="rId87" Type="http://schemas.openxmlformats.org/officeDocument/2006/relationships/hyperlink" Target="https://www.reuters.com/article/canada-budget-ukraine-aid-idCAKCN2LZ2CL" TargetMode="External"/><Relationship Id="rId513" Type="http://schemas.openxmlformats.org/officeDocument/2006/relationships/hyperlink" Target="https://yle.fi/news/3-12335944" TargetMode="External"/><Relationship Id="rId597" Type="http://schemas.openxmlformats.org/officeDocument/2006/relationships/hyperlink" Target="https://www.government.se/press-releases/2022/06/additional-amending-budget-with-further-support-to-ukraine/" TargetMode="External"/><Relationship Id="rId720" Type="http://schemas.openxmlformats.org/officeDocument/2006/relationships/hyperlink" Target="https://www.youtube.com/watch?v=vzENx6dTpqY" TargetMode="External"/><Relationship Id="rId818" Type="http://schemas.openxmlformats.org/officeDocument/2006/relationships/hyperlink" Target="https://twitter.com/michaldworczyk/status/1494357415915048962?s=21&amp;t=L7Uw2JWRBlkceKl-kFEvSQ" TargetMode="External"/><Relationship Id="rId152" Type="http://schemas.openxmlformats.org/officeDocument/2006/relationships/hyperlink" Target="https://www.gov.uk/government/news/pm-announces-major-new-military-support-package-for-ukraine-24-march-2022" TargetMode="External"/><Relationship Id="rId457" Type="http://schemas.openxmlformats.org/officeDocument/2006/relationships/hyperlink" Target="https://www.youtube.com/watch?v=S4G4kaNLqbk" TargetMode="External"/><Relationship Id="rId664" Type="http://schemas.openxmlformats.org/officeDocument/2006/relationships/hyperlink" Target="https://www.ukrinform.net/rubric-ato/3502204-norway-donates-22-m109-howitzers-to-ukraine.html" TargetMode="External"/><Relationship Id="rId871" Type="http://schemas.openxmlformats.org/officeDocument/2006/relationships/hyperlink" Target="https://www.whitehouse.gov/briefing-room/press-briefings/2022/04/04/press-briefing-by-press-secretary-jen-psaki-and-national-security-advisor-jake-sullivan/" TargetMode="External"/><Relationship Id="rId14" Type="http://schemas.openxmlformats.org/officeDocument/2006/relationships/hyperlink" Target="https://www.politico.com/news/2022/03/22/ukraine-weapons-military-aid-00019104?msclkid=cf80c503ab8311eca021beb4b2336415" TargetMode="External"/><Relationship Id="rId317" Type="http://schemas.openxmlformats.org/officeDocument/2006/relationships/hyperlink" Target="https://news.err.ee/1608512402/estonia-sending-additional-weapons-aid-to-ukraine" TargetMode="External"/><Relationship Id="rId524" Type="http://schemas.openxmlformats.org/officeDocument/2006/relationships/hyperlink" Target="https://www.france24.com/en/live-news/20220601-arms-for-ukraine-who-has-sent-what" TargetMode="External"/><Relationship Id="rId731" Type="http://schemas.openxmlformats.org/officeDocument/2006/relationships/hyperlink" Target="https://intermin.fi/en/ukraine/civilian-assistance-to-ukraine" TargetMode="External"/><Relationship Id="rId98" Type="http://schemas.openxmlformats.org/officeDocument/2006/relationships/hyperlink" Target="https://cyprus-mail.com/2022/04/06/aid-for-ukraine-now-tops-e2-million/" TargetMode="External"/><Relationship Id="rId163" Type="http://schemas.openxmlformats.org/officeDocument/2006/relationships/hyperlink" Target="https://spectator.sme.sk/c/22850259/slovakia-will-send-more-military-aid-to-ukraine.html" TargetMode="External"/><Relationship Id="rId370" Type="http://schemas.openxmlformats.org/officeDocument/2006/relationships/hyperlink" Target="https://www.usnews.com/news/world/articles/2022-04-11/ukraines-zelenskiy-says-tens-of-thousands-killed-in-mariupol-seeks-military-aid-from-s-korea" TargetMode="External"/><Relationship Id="rId829" Type="http://schemas.openxmlformats.org/officeDocument/2006/relationships/hyperlink" Target="https://kyivindependent.com/uncategorized/poland-has-provided-ukraine-with-weapons-worth-1-6-billion/" TargetMode="External"/><Relationship Id="rId230" Type="http://schemas.openxmlformats.org/officeDocument/2006/relationships/hyperlink" Target="https://www.worldbank.org/en/news/press-release/2022/03/07/world-bank-mobilizes-an-emergency-financing-package-of-over-700-million-for-ukraine" TargetMode="External"/><Relationship Id="rId468" Type="http://schemas.openxmlformats.org/officeDocument/2006/relationships/hyperlink" Target="https://www.esteri.it/en/politica-estera-e-cooperazione-allo-sviluppo/aree_geografiche/europa/litalia-a-sostegno-dellucraina/" TargetMode="External"/><Relationship Id="rId675"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82" Type="http://schemas.openxmlformats.org/officeDocument/2006/relationships/hyperlink" Target="https://focustaiwan.tw/politics/202206030014" TargetMode="External"/><Relationship Id="rId25" Type="http://schemas.openxmlformats.org/officeDocument/2006/relationships/hyperlink" Target="https://www.esteri.it/it/sala_stampa/archivionotizie/comunicati/2022/03/fornitura-di-beni-umanitari-in-favore-della-popolazione-ucraina/" TargetMode="External"/><Relationship Id="rId328" Type="http://schemas.openxmlformats.org/officeDocument/2006/relationships/hyperlink" Target="https://nordicmonitor.com/2022/03/turkey-deployed-personnel-to-operate-armed-drones-in-targeting-russian-military/" TargetMode="External"/><Relationship Id="rId535" Type="http://schemas.openxmlformats.org/officeDocument/2006/relationships/hyperlink" Target="https://pledgetimes.com/spain-sends-an-armored-ambulance-and-more-weapons-to-ukraine/" TargetMode="External"/><Relationship Id="rId742" Type="http://schemas.openxmlformats.org/officeDocument/2006/relationships/hyperlink" Target="https://pmtranscripts.pmc.gov.au/release/transcript-43868" TargetMode="External"/><Relationship Id="rId174" Type="http://schemas.openxmlformats.org/officeDocument/2006/relationships/hyperlink" Target="https://www.whitehouse.gov/briefing-room/speeches-remarks/2022/02/18/remarks-by-president-biden-providing-an-update-on-russia-and-ukraine-2/" TargetMode="External"/><Relationship Id="rId381" Type="http://schemas.openxmlformats.org/officeDocument/2006/relationships/hyperlink" Target="https://www.worldbank.org/en/news/press-release/2022/03/07/world-bank-mobilizes-an-emergency-financing-package-of-over-700-million-for-ukraine" TargetMode="External"/><Relationship Id="rId602" Type="http://schemas.openxmlformats.org/officeDocument/2006/relationships/hyperlink" Target="https://mil.in.ua/en/news/belgium-made-a-decision-to-hand-over-artillery-to-ukraine-the-media/" TargetMode="External"/><Relationship Id="rId241" Type="http://schemas.openxmlformats.org/officeDocument/2006/relationships/hyperlink" Target="https://www.fxempire.com/news/article/japan-trebles-loans-to-ukraine-to-300-million-pm-kishida-to-other-leaders-972430" TargetMode="External"/><Relationship Id="rId479" Type="http://schemas.openxmlformats.org/officeDocument/2006/relationships/hyperlink" Target="https://tfiglobalnews.com/2022/03/21/canada-wanted-to-supply-weapons-to-ukraine-turns-out-it-didnt-have-any/" TargetMode="External"/><Relationship Id="rId686" Type="http://schemas.openxmlformats.org/officeDocument/2006/relationships/hyperlink" Target="https://www.vlada.cz/cz/media-centrum/aktualne/informace-v-souvislosti-s-invazi-ruska-na-ukrajinu-194507/" TargetMode="External"/><Relationship Id="rId893" Type="http://schemas.openxmlformats.org/officeDocument/2006/relationships/hyperlink" Target="https://focustaiwan.tw/politics/202206030014" TargetMode="External"/><Relationship Id="rId36" Type="http://schemas.openxmlformats.org/officeDocument/2006/relationships/hyperlink" Target="https://www.karpatinfo.net/2022/2/27/szijjarto-magyarorszag-szerepet-vallal-humanitarius-katasztrofa-enyhiteseben-200055995" TargetMode="External"/><Relationship Id="rId339" Type="http://schemas.openxmlformats.org/officeDocument/2006/relationships/hyperlink" Target="https://www.admin.ch/gov/en/start/documentation/media-releases.msg-id-87418.html" TargetMode="External"/><Relationship Id="rId546" Type="http://schemas.openxmlformats.org/officeDocument/2006/relationships/hyperlink" Target="https://ec.europa.eu/info/strategy/priorities-2019-2024/stronger-europe-world/eu-solidarity-ukraine/eu-assistance-ukraine_en" TargetMode="External"/><Relationship Id="rId753" Type="http://schemas.openxmlformats.org/officeDocument/2006/relationships/hyperlink" Target="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 TargetMode="External"/><Relationship Id="rId101" Type="http://schemas.openxmlformats.org/officeDocument/2006/relationships/hyperlink" Target="https://www.praguemorning.cz/czech-governmenet-approves-czk-400-million-in-military-aid-for-ukraine/" TargetMode="External"/><Relationship Id="rId185" Type="http://schemas.openxmlformats.org/officeDocument/2006/relationships/hyperlink" Target="https://gov.ro/en/news/medical-equipment-and-medicines-donated-by-romania-in-support-of-ukraine&amp;page=13" TargetMode="External"/><Relationship Id="rId406" Type="http://schemas.openxmlformats.org/officeDocument/2006/relationships/hyperlink" Target="https://english.news.cn/northamerica/20220521/316cc7dea3444c36b011aa19617629ac/c.html" TargetMode="External"/><Relationship Id="rId392" Type="http://schemas.openxmlformats.org/officeDocument/2006/relationships/hyperlink" Target="https://www-puterea-ro.translate.goog/romania-ofera-ucrainei-o-noua-contributie-de-asistenta-umanitara/?_x_tr_sl=ro&amp;_x_tr_tl=en&amp;_x_tr_hl=en&amp;_x_tr_pto=sc" TargetMode="External"/><Relationship Id="rId613" Type="http://schemas.openxmlformats.org/officeDocument/2006/relationships/hyperlink" Target="https://czechdaily.cz/the-czech-republic-is-sending-thousands-of-artillery-shells-to-ukraine/" TargetMode="External"/><Relationship Id="rId697" Type="http://schemas.openxmlformats.org/officeDocument/2006/relationships/hyperlink" Target="https://www.thebulletin.be/belgium-send-more-weapons-and-fuel-ukraine" TargetMode="External"/><Relationship Id="rId820" Type="http://schemas.openxmlformats.org/officeDocument/2006/relationships/hyperlink" Target="https://www.rp.pl/biznes/art35754421-polska-bron-dla-ukrainy-pierwsze-transporty-dotarly-kolejne-w-drodze" TargetMode="External"/><Relationship Id="rId252" Type="http://schemas.openxmlformats.org/officeDocument/2006/relationships/hyperlink" Target="https://www.txtreport.com/news/2022-04-21-lithuania-has-provided-ukraine-with-large-mortars.Sk8DYtC45.html" TargetMode="External"/><Relationship Id="rId47" Type="http://schemas.openxmlformats.org/officeDocument/2006/relationships/hyperlink" Target="https://www.government.nl/topics/russia-and-ukraine/dutch-aid-for-ukraine" TargetMode="External"/><Relationship Id="rId112" Type="http://schemas.openxmlformats.org/officeDocument/2006/relationships/hyperlink" Target="https://www.vlada.cz/cz/media-centrum/aktualne/informace-v-souvislosti-s-invazi-ruska-na-ukrajinu-194507/" TargetMode="External"/><Relationship Id="rId557" Type="http://schemas.openxmlformats.org/officeDocument/2006/relationships/hyperlink" Target="https://www.eib.org/en/press/news/joint-statement-of-heads-of-international-financial-institutions-with-programs-in-ukraine-and-neighboring-countries" TargetMode="External"/><Relationship Id="rId764" Type="http://schemas.openxmlformats.org/officeDocument/2006/relationships/hyperlink" Target="https://www.reuters.com/world/europe/dutch-others-will-continue-deliver-weapons-ukraine-dutch-minister-2022-03-16/" TargetMode="External"/><Relationship Id="rId196" Type="http://schemas.openxmlformats.org/officeDocument/2006/relationships/hyperlink" Target="https://www.gov.uk/government/news/uk-to-bolster-defensive-aid-to-ukraine-with-new-100m-package" TargetMode="External"/><Relationship Id="rId417" Type="http://schemas.openxmlformats.org/officeDocument/2006/relationships/hyperlink" Target="https://mil.in.ua/en/news/harpoon-what-is-known-about-danish-coastal-missile-systems/" TargetMode="External"/><Relationship Id="rId624" Type="http://schemas.openxmlformats.org/officeDocument/2006/relationships/hyperlink" Target="https://www.theguardian.com/australia-news/2022/feb/27/labor-warns-china-it-should-not-take-comfort-from-russian-invasion-of-ukraine" TargetMode="External"/><Relationship Id="rId831" Type="http://schemas.openxmlformats.org/officeDocument/2006/relationships/hyperlink" Target="https://kyivindependent.com/uncategorized/poland-has-provided-ukraine-with-weapons-worth-1-6-billion/" TargetMode="External"/><Relationship Id="rId263" Type="http://schemas.openxmlformats.org/officeDocument/2006/relationships/hyperlink" Target="https://www.arout.net/france-sends-dozens-of-fire-engines-and-ambulances-to-ukraine-to-support-the-war-against-russia/" TargetMode="External"/><Relationship Id="rId470" Type="http://schemas.openxmlformats.org/officeDocument/2006/relationships/hyperlink" Target="https://www.padovaoggi.it/cronaca/vigili-fuoco-mezzi-ucraina-padova-14-aprile-2022.html" TargetMode="External"/><Relationship Id="rId58" Type="http://schemas.openxmlformats.org/officeDocument/2006/relationships/hyperlink" Target="https://dailynewshungary.com/hungary-can-be-of-far-greater-help-if-it-remains-an-island-of-peace-together-with-transcarpathia-says-official/" TargetMode="External"/><Relationship Id="rId123" Type="http://schemas.openxmlformats.org/officeDocument/2006/relationships/hyperlink" Target="https://twitter.com/eduardheger/status/1499479828218658819" TargetMode="External"/><Relationship Id="rId330" Type="http://schemas.openxmlformats.org/officeDocument/2006/relationships/hyperlink" Target="https://twitter.com/AFADTurkey/status/1503080333205700608" TargetMode="External"/><Relationship Id="rId568" Type="http://schemas.openxmlformats.org/officeDocument/2006/relationships/hyperlink" Target="https://euneighbourseast.eu/news-and-stories/latest-news/council-adopts-e500-million-eu-support-to-ukraine-under-european-peace-facility/" TargetMode="External"/><Relationship Id="rId775" Type="http://schemas.openxmlformats.org/officeDocument/2006/relationships/hyperlink" Target="https://www.kmu.gov.ua/en/news/minfin-ukrayina-otrimala-1-mlrd-kanadskih-dolariv-vid-kanadi" TargetMode="External"/><Relationship Id="rId428" Type="http://schemas.openxmlformats.org/officeDocument/2006/relationships/hyperlink" Target="https://interfax.com/newsroom/top-stories/79528/" TargetMode="External"/><Relationship Id="rId635" Type="http://schemas.openxmlformats.org/officeDocument/2006/relationships/hyperlink" Target="https://see.news/south-korea-to-send-non-lethal-aid-to-ukraine/" TargetMode="External"/><Relationship Id="rId842" Type="http://schemas.openxmlformats.org/officeDocument/2006/relationships/hyperlink" Target="https://www.usnews.com/news/world/articles/2022-06-16/slovaks-give-mi-helicopters-grad-rockets-to-ukraine" TargetMode="External"/><Relationship Id="rId274" Type="http://schemas.openxmlformats.org/officeDocument/2006/relationships/hyperlink" Target="https://twitter.com/kajakallas/status/1522215001934557186" TargetMode="External"/><Relationship Id="rId481" Type="http://schemas.openxmlformats.org/officeDocument/2006/relationships/hyperlink" Target="https://www.cbc.ca/news/politics/ukraine-m777-howitzer-russia-heavy-artillery-1.6427762" TargetMode="External"/><Relationship Id="rId702" Type="http://schemas.openxmlformats.org/officeDocument/2006/relationships/hyperlink" Target="https://vm.ee/en/humanitarian-aid-ukraine" TargetMode="External"/><Relationship Id="rId69" Type="http://schemas.openxmlformats.org/officeDocument/2006/relationships/hyperlink" Target="https://www.teletrader.com/lithuania-to-give-ukraine-10m-in-military-aid/news/details/57547008?internal=1&amp;ts=1650527739811" TargetMode="External"/><Relationship Id="rId134" Type="http://schemas.openxmlformats.org/officeDocument/2006/relationships/hyperlink" Target="https://www.centralbanking.com/central-banks/financial-stability/7933406/poland-offers-ukraine-swap-line-as-nbu-suspends-forex-transactions" TargetMode="External"/><Relationship Id="rId579" Type="http://schemas.openxmlformats.org/officeDocument/2006/relationships/hyperlink" Target="https://www.youtube.com/watch?v=EKzlhntZigE&amp;t=888s" TargetMode="External"/><Relationship Id="rId786" Type="http://schemas.openxmlformats.org/officeDocument/2006/relationships/hyperlink" Target="https://www.flightglobal.com/helicopters/czech-republic-sending-attack-helicopters-to-ukraine/148770.article" TargetMode="External"/><Relationship Id="rId341" Type="http://schemas.openxmlformats.org/officeDocument/2006/relationships/hyperlink" Target="https://www.regjeringen.no/en/aktuelt/ukrainefund/id2909840/" TargetMode="External"/><Relationship Id="rId439" Type="http://schemas.openxmlformats.org/officeDocument/2006/relationships/hyperlink" Target="https://www.lamoncloa.gob.es/lang/en/gobierno/news/Paginas/2022/20220411_health-shipment.aspx" TargetMode="External"/><Relationship Id="rId646" Type="http://schemas.openxmlformats.org/officeDocument/2006/relationships/hyperlink" Target="https://www.theportugalnews.com/news/2022-03-04/portugal-sends-ukraine-100000-of-medical-supplies/65610" TargetMode="External"/><Relationship Id="rId201" Type="http://schemas.openxmlformats.org/officeDocument/2006/relationships/hyperlink" Target="https://pl.usembassy.gov/civilian_security_assistance/" TargetMode="External"/><Relationship Id="rId285" Type="http://schemas.openxmlformats.org/officeDocument/2006/relationships/hyperlink" Target="https://www.reuters.com/world/europe/france-will-increase-financial-aid-ukraine-by-300-mln-macron-tells-donor-2022-05-05/" TargetMode="External"/><Relationship Id="rId506" Type="http://schemas.openxmlformats.org/officeDocument/2006/relationships/hyperlink" Target="https://www.thedefensepost.com/2022/04/19/us-arms-arrive-ukraine/" TargetMode="External"/><Relationship Id="rId853" Type="http://schemas.openxmlformats.org/officeDocument/2006/relationships/hyperlink" Target="https://www.gbnews.uk/news/uk-pledges-13-billion-in-support-for-ukraines-fight-against-putins-russia/288926" TargetMode="External"/><Relationship Id="rId492" Type="http://schemas.openxmlformats.org/officeDocument/2006/relationships/hyperlink" Target="https://www.globaldefensecorp.com/2022/03/04/denmark-delivered-2700-anti-tank-rockets-and-300-stinger-missiles-to-ukraine/" TargetMode="External"/><Relationship Id="rId713" Type="http://schemas.openxmlformats.org/officeDocument/2006/relationships/hyperlink" Target="https://www.fanpage.it/politica/armi-allucraina-arriva-il-terzo-decreto-del-governo-lelenco-e-secretato-come-i-precedenti/" TargetMode="External"/><Relationship Id="rId797" Type="http://schemas.openxmlformats.org/officeDocument/2006/relationships/hyperlink" Target="https://www.diplomatie.gouv.fr/en/country-files/ukraine/news/article/ukraine-exceptional-delivery-of-emergency-medical-assistance-by-france-28-jun" TargetMode="External"/><Relationship Id="rId145" Type="http://schemas.openxmlformats.org/officeDocument/2006/relationships/hyperlink" Target="https://www.reuters.com/world/europe/britain-exploring-donating-anti-air-missiles-ukraine-defence-minister-2022-03-09/" TargetMode="External"/><Relationship Id="rId352" Type="http://schemas.openxmlformats.org/officeDocument/2006/relationships/hyperlink" Target="https://www.regjeringen.no/en/aktuelt/ukrainefund/id2909840/" TargetMode="External"/><Relationship Id="rId212" Type="http://schemas.openxmlformats.org/officeDocument/2006/relationships/hyperlink" Target="https://appropriations.house.gov/sites/democrats.appropriations.house.gov/files/Ukraine%20Supplemental%20Summary.pdf" TargetMode="External"/><Relationship Id="rId657" Type="http://schemas.openxmlformats.org/officeDocument/2006/relationships/hyperlink" Target="https://www.npr.org/2022/05/03/1096398193/retired-colonel-on-the-rise-of-javelin-missiles-as-biden-seeks-to-aid-ukraine" TargetMode="External"/><Relationship Id="rId864" Type="http://schemas.openxmlformats.org/officeDocument/2006/relationships/hyperlink" Target="https://www.theguardian.com/world/2022/jun/01/himars-what-are-the-advanced-rockets-us-is-sending-ukraine" TargetMode="External"/><Relationship Id="rId296" Type="http://schemas.openxmlformats.org/officeDocument/2006/relationships/hyperlink" Target="https://www.mod.mil.gr/en/deputy-defence-minister-nikolaos-chardalias-accompanies-a-humanitarian-aid-cargo/" TargetMode="External"/><Relationship Id="rId517" Type="http://schemas.openxmlformats.org/officeDocument/2006/relationships/hyperlink" Target="https://tass.com/world/1439267?utm_source=google.com&amp;utm_medium=organic&amp;utm_campaign=google.com&amp;utm_referrer=google.com" TargetMode="External"/><Relationship Id="rId724" Type="http://schemas.openxmlformats.org/officeDocument/2006/relationships/hyperlink" Target="https://www.irishmirror.ie/news/irish-news/politics/goal-opens-new-support-offices-27021322" TargetMode="External"/><Relationship Id="rId60" Type="http://schemas.openxmlformats.org/officeDocument/2006/relationships/hyperlink" Target="https://www.gov.ie/en/press-release/2e59c-update-on-medical-humanitarian-support-to-ukraine/" TargetMode="External"/><Relationship Id="rId156" Type="http://schemas.openxmlformats.org/officeDocument/2006/relationships/hyperlink" Target="https://ua.interfax.com.ua/news/general/807284.html" TargetMode="External"/><Relationship Id="rId363" Type="http://schemas.openxmlformats.org/officeDocument/2006/relationships/hyperlink" Target="https://reliefweb.int/report/ukraine/korea-provide-humanitarian-assistance-people-ukraine" TargetMode="External"/><Relationship Id="rId570" Type="http://schemas.openxmlformats.org/officeDocument/2006/relationships/hyperlink" Target="https://ec.europa.eu/info/strategy/priorities-2019-2024/stronger-europe-world/eu-solidarity-ukraine/eu-assistance-ukraine_en" TargetMode="External"/><Relationship Id="rId223" Type="http://schemas.openxmlformats.org/officeDocument/2006/relationships/hyperlink" Target="https://www.politico.com/news/2022/03/22/ukraine-weapons-military-aid-00019104" TargetMode="External"/><Relationship Id="rId430" Type="http://schemas.openxmlformats.org/officeDocument/2006/relationships/hyperlink" Target="https://today.rtl.lu/news/luxembourg/a/1881929.html" TargetMode="External"/><Relationship Id="rId668" Type="http://schemas.openxmlformats.org/officeDocument/2006/relationships/hyperlink" Target="https://www.faz.net/aktuell/politik/waffen-fuer-die-ukraine-norwegen-liefert-haubitzen-18089553.html" TargetMode="External"/><Relationship Id="rId875" Type="http://schemas.openxmlformats.org/officeDocument/2006/relationships/hyperlink" Target="https://twitter.com/UAWeapons/status/1531282230760378369" TargetMode="External"/><Relationship Id="rId18" Type="http://schemas.openxmlformats.org/officeDocument/2006/relationships/hyperlink" Target="https://abouthungary.hu/news-in-brief/hungary-to-make-another-shipment-of-humanitarian-aid-to-ukraine?msclkid=ca53d542ab8b11ec95fbf81dabb45ae9" TargetMode="External"/><Relationship Id="rId528" Type="http://schemas.openxmlformats.org/officeDocument/2006/relationships/hyperlink" Target="https://delano.lu/article/luxembourg-delivering-substant" TargetMode="External"/><Relationship Id="rId735" Type="http://schemas.openxmlformats.org/officeDocument/2006/relationships/hyperlink" Target="https://intermin.fi/en/ukraine/civilian-assistance-to-ukraine" TargetMode="External"/><Relationship Id="rId167" Type="http://schemas.openxmlformats.org/officeDocument/2006/relationships/hyperlink" Target="https://www.whitehouse.gov/briefing-room/speeches-remarks/2022/03/26/remarks-by-president-biden-on-the-united-efforts-of-the-free-world-to-support-the-people-of-ukraine/" TargetMode="External"/><Relationship Id="rId374" Type="http://schemas.openxmlformats.org/officeDocument/2006/relationships/hyperlink" Target="https://www.beehive.govt.nz/release/nz-provide-non-lethal-military-assistance-ukraine" TargetMode="External"/><Relationship Id="rId581" Type="http://schemas.openxmlformats.org/officeDocument/2006/relationships/hyperlink" Target="https://twitter.com/visegrad24/status/1503313508980637696" TargetMode="External"/><Relationship Id="rId71" Type="http://schemas.openxmlformats.org/officeDocument/2006/relationships/hyperlink" Target="https://www.globalcitizen.org/en/content/stand-up-for-ukraine-impact-report/" TargetMode="External"/><Relationship Id="rId234" Type="http://schemas.openxmlformats.org/officeDocument/2006/relationships/hyperlink" Target="https://www.worldbank.org/en/news/press-release/2022/03/07/world-bank-mobilizes-an-emergency-financing-package-of-over-700-million-for-ukraine" TargetMode="External"/><Relationship Id="rId679" Type="http://schemas.openxmlformats.org/officeDocument/2006/relationships/hyperlink" Target="https://mil.in.ua/en/news/the-netherlands-italy-and-belgium-have-agreed-to-transfer-the-additional-155-mm-caliber-acs-to-ukraine/" TargetMode="External"/><Relationship Id="rId802" Type="http://schemas.openxmlformats.org/officeDocument/2006/relationships/hyperlink" Target="https://www.n-tv.de/politik/Deutsche-Waffenlieferungen-an-die-Ukraine-Nicht-alle-Exporte-werden-erfasst-article23304309.html" TargetMode="External"/><Relationship Id="rId886" Type="http://schemas.openxmlformats.org/officeDocument/2006/relationships/hyperlink" Target="https://kyivindependent.com/news-feed/slovakia-supplies-5-helicopters-ammunition-for-grad-multiple-rocket-launchers" TargetMode="External"/><Relationship Id="rId2" Type="http://schemas.openxmlformats.org/officeDocument/2006/relationships/hyperlink" Target="https://japan.kantei.go.jp/ongoingtopics/pdf/jp_stands_with_ukraine_eng.pdf" TargetMode="External"/><Relationship Id="rId29" Type="http://schemas.openxmlformats.org/officeDocument/2006/relationships/hyperlink" Target="https://www.startmag.it/innovazione/armi-italia-ucraina/" TargetMode="External"/><Relationship Id="rId441" Type="http://schemas.openxmlformats.org/officeDocument/2006/relationships/hyperlink" Target="https://www.lamoncloa.gob.es/lang/en/presidente/news/paginas/2022/20220421_visit-to-ukraine.aspx" TargetMode="External"/><Relationship Id="rId539" Type="http://schemas.openxmlformats.org/officeDocument/2006/relationships/hyperlink" Target="https://www.newyorker.com/magazine/2022/05/16/the-turkish-drone-that-changed-the-nature-of-warfare" TargetMode="External"/><Relationship Id="rId746" Type="http://schemas.openxmlformats.org/officeDocument/2006/relationships/hyperlink" Target="https://www.beehive.govt.nz/release/further-aotearoa-new-zealand-support-ukraine" TargetMode="External"/><Relationship Id="rId178" Type="http://schemas.openxmlformats.org/officeDocument/2006/relationships/hyperlink" Target="https://twitter.com/eduardheger/status/1512777474828079109" TargetMode="External"/><Relationship Id="rId301" Type="http://schemas.openxmlformats.org/officeDocument/2006/relationships/hyperlink" Target="https://polskatimes.pl/polska-przekazala-ukraincom-pomoc-humanitarna-o-wartosci-300-milionow-zlotych/ar/c1-16217063" TargetMode="External"/><Relationship Id="rId82" Type="http://schemas.openxmlformats.org/officeDocument/2006/relationships/hyperlink" Target="https://www.ctvnews.ca/politics/ukraine-can-t-negotiate-with-gun-to-head-says-joly-as-trudeau-presses-allies-1.5811832" TargetMode="External"/><Relationship Id="rId385" Type="http://schemas.openxmlformats.org/officeDocument/2006/relationships/hyperlink" Target="https://www.gov.uk/government/publications/world-bank-spring-meetings-2022-uk-governors-statement/world-bank-spring-meetings-2022-uk-governors-statement" TargetMode="External"/><Relationship Id="rId592"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606" Type="http://schemas.openxmlformats.org/officeDocument/2006/relationships/hyperlink" Target="https://www.euractiv.com/section/politics/short_news/bulgaria-sends-helmets-to-ukrain%D0%B5/" TargetMode="External"/><Relationship Id="rId813" Type="http://schemas.openxmlformats.org/officeDocument/2006/relationships/hyperlink" Target="https://www.zeit.de/politik/deutschland/2022-06/olaf-scholz-sagt-ukraine-flugabwehrsystem-zu" TargetMode="External"/><Relationship Id="rId245" Type="http://schemas.openxmlformats.org/officeDocument/2006/relationships/hyperlink" Target="https://medinlive.at/gesellschaft/oesterreich-unterstuetzt-ukraine-mit-ueber-80-millionen-euro" TargetMode="External"/><Relationship Id="rId452" Type="http://schemas.openxmlformats.org/officeDocument/2006/relationships/hyperlink" Target="https://news.defence.gov.au/international/working-together-ukraine" TargetMode="External"/><Relationship Id="rId105" Type="http://schemas.openxmlformats.org/officeDocument/2006/relationships/hyperlink" Target="https://www.vlada.cz/cz/media-centrum/aktualne/vlada-schvalila-dalsi-dar-v-podobe-vojenskeho-materialu-ukrajine-194585/" TargetMode="External"/><Relationship Id="rId312" Type="http://schemas.openxmlformats.org/officeDocument/2006/relationships/hyperlink" Target="https://hit-logo-klingelton.com/uk-announces-additional-230-million-in-aid-for-ukraine/?msclkid=0f934a89cf8011ec82b90a2bac4d5bea" TargetMode="External"/><Relationship Id="rId757" Type="http://schemas.openxmlformats.org/officeDocument/2006/relationships/hyperlink" Target="https://english.defensie.nl/latest/news/2022/04/06/a-look-at-the-defence-news-28-march---3-april" TargetMode="External"/><Relationship Id="rId93" Type="http://schemas.openxmlformats.org/officeDocument/2006/relationships/hyperlink" Target="https://www.netnewsledger.com/2022/01/26/government-of-canada-announces-340-million-for-ukraine/" TargetMode="External"/><Relationship Id="rId189" Type="http://schemas.openxmlformats.org/officeDocument/2006/relationships/hyperlink" Target="https://www.bgk.pl/aktualnosc/bgk-polish-development-bank-has-donated-pln-30-million-to-help-ukraine/" TargetMode="External"/><Relationship Id="rId396" Type="http://schemas.openxmlformats.org/officeDocument/2006/relationships/hyperlink" Target="https://bntnews.bg/news/kakva-tochno-pomosht-shte-predostavi-balgariya-na-ukraina-1193662news.html" TargetMode="External"/><Relationship Id="rId617" Type="http://schemas.openxmlformats.org/officeDocument/2006/relationships/hyperlink" Target="https://www.rferl.org/a/czech-republic-poland-new-military-aid-ukraine/31873938.html" TargetMode="External"/><Relationship Id="rId824" Type="http://schemas.openxmlformats.org/officeDocument/2006/relationships/hyperlink" Target="https://kyivindependent.com/uncategorized/poland-has-provided-ukraine-with-weapons-worth-1-6-billion/" TargetMode="External"/><Relationship Id="rId256" Type="http://schemas.openxmlformats.org/officeDocument/2006/relationships/hyperlink" Target="https://www.businesstoday.in/crypto/story/finland-set-to-donate-over-eu70-million-worth-of-crypto-to-war-torn-ukraine-331795-2022-04-29" TargetMode="External"/><Relationship Id="rId463" Type="http://schemas.openxmlformats.org/officeDocument/2006/relationships/hyperlink" Target="https://www.youtube.com/watch?v=xsRCOOin-0U" TargetMode="External"/><Relationship Id="rId670" Type="http://schemas.openxmlformats.org/officeDocument/2006/relationships/hyperlink" Target="https://www.government.se/press-releases/2022/06/additional-amending-budget-with-further-support-to-ukraine/" TargetMode="External"/><Relationship Id="rId116" Type="http://schemas.openxmlformats.org/officeDocument/2006/relationships/hyperlink" Target="https://www.vlada.cz/cz/media-centrum/aktualne/informace-v-souvislosti-s-invazi-ruska-na-ukrajinu-194507/" TargetMode="External"/><Relationship Id="rId323" Type="http://schemas.openxmlformats.org/officeDocument/2006/relationships/hyperlink" Target="https://www.kmu.gov.ua/en/news/70-000-tonn-vugillya-nadast-ukrayini-avstraliya-german-galushchenko" TargetMode="External"/><Relationship Id="rId530" Type="http://schemas.openxmlformats.org/officeDocument/2006/relationships/hyperlink" Target="https://www.aa.com.tr/en/russia-ukraine-war/norway-sends-roughly-100-anti-aircraft-missiles-to-ukraine/2568447" TargetMode="External"/><Relationship Id="rId768" Type="http://schemas.openxmlformats.org/officeDocument/2006/relationships/hyperlink" Target="https://www.independent.ie/irish-news/news/10-hse-ambulances-sent-to-ukraine-to-help-in-humanitarian-effort-41789730.html" TargetMode="External"/><Relationship Id="rId20" Type="http://schemas.openxmlformats.org/officeDocument/2006/relationships/hyperlink" Target="https://sofiaglobe.com/2022/02/27/bulgaria-to-provide-humanitarian-military-logistical-aid-to-ukraine/?msclkid=2fb3d8c7b05511ec86aca56bb6424b21" TargetMode="External"/><Relationship Id="rId628" Type="http://schemas.openxmlformats.org/officeDocument/2006/relationships/hyperlink" Target="https://www.abc.net.au/news/2022-03-31/more-military-aid-defence-weapons-ukraine-zelenskyy/100955544" TargetMode="External"/><Relationship Id="rId835" Type="http://schemas.openxmlformats.org/officeDocument/2006/relationships/hyperlink" Target="https://mil.in.ua/en/news/poland-will-hand-over-the-155-mm-krab-ahs-self-propelled-howitzers-to-ukraine/" TargetMode="External"/><Relationship Id="rId267" Type="http://schemas.openxmlformats.org/officeDocument/2006/relationships/hyperlink" Target="https://www.wienerzeitung.at/nachrichten/politik/oesterreich/2146418-Oesterreich-schickte-Ukraine-Armeeausruestung.html" TargetMode="External"/><Relationship Id="rId474" Type="http://schemas.openxmlformats.org/officeDocument/2006/relationships/hyperlink" Target="https://www.gazzettaufficiale.it/atto/serie_generale/caricaDettaglioAtto/originario?atto.dataPubblicazioneGazzetta=2022-05-13&amp;atto.codiceRedazionale=22A02976&amp;elenco30giorni=false" TargetMode="External"/><Relationship Id="rId127" Type="http://schemas.openxmlformats.org/officeDocument/2006/relationships/hyperlink" Target="https://www.whitehouse.gov/briefing-room/speeches-remarks/2022/03/10/corrected-remarks-by-vice-president-harris-and-president-andrzej-duda-of-poland-in-joint-press-conference/" TargetMode="External"/><Relationship Id="rId681" Type="http://schemas.openxmlformats.org/officeDocument/2006/relationships/hyperlink" Target="https://www.defense.gov/News/Releases/Release/Article/3007664/fact-sheet-on-us-security-assistance-for-ukraine-roll-up-as-of-april-21-2022/" TargetMode="External"/><Relationship Id="rId779" Type="http://schemas.openxmlformats.org/officeDocument/2006/relationships/hyperlink" Target="https://www.wsj.com/articles/ukraine-quietly-receives-tanks-from-czech-republic-to-support-war-effort-11649160666" TargetMode="External"/><Relationship Id="rId31" Type="http://schemas.openxmlformats.org/officeDocument/2006/relationships/hyperlink" Target="https://eng.lsm.lv/article/society/society/latvia-has-sent-14-loads-of-donations-to-ukraine.a448977/" TargetMode="External"/><Relationship Id="rId334" Type="http://schemas.openxmlformats.org/officeDocument/2006/relationships/hyperlink" Target="https://www.24sata.hr/news/solidarnost-hrvatska-donirala-5-mil-eura-za-pomoc-ukrajini-833624" TargetMode="External"/><Relationship Id="rId541" Type="http://schemas.openxmlformats.org/officeDocument/2006/relationships/hyperlink" Target="https://www.bbc.com/news/world-europe-61482305" TargetMode="External"/><Relationship Id="rId639" Type="http://schemas.openxmlformats.org/officeDocument/2006/relationships/hyperlink" Target="https://mobile.twitter.com/AAhronheim/status/1498004573528772608" TargetMode="External"/><Relationship Id="rId180" Type="http://schemas.openxmlformats.org/officeDocument/2006/relationships/hyperlink" Target="https://www.gov.si/en/news/2022-03-01-minister-logar-announces-eur-1-1-million-in-humanitarian-aid-for-ukraine/" TargetMode="External"/><Relationship Id="rId278" Type="http://schemas.openxmlformats.org/officeDocument/2006/relationships/hyperlink" Target="https://www.aa.com.tr/en/europe/france-to-deliver-caesar-artillery-guns-shells-to-ukraine/2570644" TargetMode="External"/><Relationship Id="rId401" Type="http://schemas.openxmlformats.org/officeDocument/2006/relationships/hyperlink" Target="https://www.regjeringen.no/en/aktuelt/additional-nok-100-million/id2911879/" TargetMode="External"/><Relationship Id="rId846" Type="http://schemas.openxmlformats.org/officeDocument/2006/relationships/hyperlink" Target="https://www.total-slovenia-news.com/politics/10138-slovenia-moves-from-military-to-humanitarian-aid-for-ukraine" TargetMode="External"/><Relationship Id="rId485" Type="http://schemas.openxmlformats.org/officeDocument/2006/relationships/hyperlink" Target="https://appropriations.house.gov/sites/democrats.appropriations.house.gov/files/Additional%20Ukraine%20Suplemental%20Appropriations%20Act%20Summary.pdf" TargetMode="External"/><Relationship Id="rId692" Type="http://schemas.openxmlformats.org/officeDocument/2006/relationships/hyperlink" Target="https://www.defense.gov/News/Releases/Release/Article/3023667/pentagon-press-secretary-statement-on-150-million-in-additional-security-assist/" TargetMode="External"/><Relationship Id="rId706" Type="http://schemas.openxmlformats.org/officeDocument/2006/relationships/hyperlink" Target="https://www.ukrinform.net/rubric-polytics/3501933-estonia-has-provided-240m-in-military-aid-to-ukraine-korniyenko.html" TargetMode="External"/><Relationship Id="rId42" Type="http://schemas.openxmlformats.org/officeDocument/2006/relationships/hyperlink" Target="https://www.total-croatia-news.com/politics/60689-support-measures-for-ukraine" TargetMode="External"/><Relationship Id="rId138" Type="http://schemas.openxmlformats.org/officeDocument/2006/relationships/hyperlink" Target="https://english.sta.si/3017990/tonnes-of-aid-for-ukraine-dispatched-this-week" TargetMode="External"/><Relationship Id="rId345" Type="http://schemas.openxmlformats.org/officeDocument/2006/relationships/hyperlink" Target="https://www.regjeringen.no/en/aktuelt/air-defense-system-to-ukraine/id2908807/" TargetMode="External"/><Relationship Id="rId552" Type="http://schemas.openxmlformats.org/officeDocument/2006/relationships/hyperlink" Target="https://twitter.com/vonderleyen/status/1512525016910471170" TargetMode="External"/><Relationship Id="rId191" Type="http://schemas.openxmlformats.org/officeDocument/2006/relationships/hyperlink" Target="https://ukranews.com/en/news/850937-romania-will-transfer-lethal-weapons-from-its-own-reserves-to-ukraine-media" TargetMode="External"/><Relationship Id="rId205" Type="http://schemas.openxmlformats.org/officeDocument/2006/relationships/hyperlink" Target="https://www.defense.gov/News/Releases/Release/Article/3007664/fact-sheet-on-us-security-assistance-for-ukraine-roll-up-as-of-april-21-2022/" TargetMode="External"/><Relationship Id="rId412" Type="http://schemas.openxmlformats.org/officeDocument/2006/relationships/hyperlink" Target="https://mil.in.ua/en/news/canada-is-set-to-hand-over-eight-armored-vehicles-to-ukraine/" TargetMode="External"/><Relationship Id="rId857" Type="http://schemas.openxmlformats.org/officeDocument/2006/relationships/hyperlink" Target="https://www.bbc.com/news/uk-61990479" TargetMode="External"/><Relationship Id="rId289" Type="http://schemas.openxmlformats.org/officeDocument/2006/relationships/hyperlink" Target="https://www.globalcitizen.org/en/content/stand-up-for-ukraine-impact-report/" TargetMode="External"/><Relationship Id="rId496" Type="http://schemas.openxmlformats.org/officeDocument/2006/relationships/hyperlink" Target="https://www-rtp-pt.translate.goog/noticias/politica/ajuda-financeira-a-ucrania-primeiros-100-milhoes-de-euros-serao-entregues-ainda-este-ano_v1406838?_x_tr_sl=pt&amp;_x_tr_tl=it&amp;_x_tr_hl=it&amp;_x_tr_pto=op,sc" TargetMode="External"/><Relationship Id="rId717" Type="http://schemas.openxmlformats.org/officeDocument/2006/relationships/hyperlink" Target="https://www.gov.uk/government/news/prime-minister-pledges-uks-unwavering-support-to-ukraine-on-visit-to-kyiv-9-april-2022" TargetMode="External"/><Relationship Id="rId53" Type="http://schemas.openxmlformats.org/officeDocument/2006/relationships/hyperlink" Target="https://twitter.com/alexanderdecroo/status/1497914776063594502" TargetMode="External"/><Relationship Id="rId149" Type="http://schemas.openxmlformats.org/officeDocument/2006/relationships/hyperlink" Target="https://www.thelocal.es/20220311/spain-to-send-more-weapons-to-ukraine/" TargetMode="External"/><Relationship Id="rId356" Type="http://schemas.openxmlformats.org/officeDocument/2006/relationships/hyperlink" Target="https://www.aa.com.tr/en/russia-ukraine-war/new-zealand-announces-13m-additional-aid-for-ukraine/2560551" TargetMode="External"/><Relationship Id="rId563" Type="http://schemas.openxmlformats.org/officeDocument/2006/relationships/hyperlink" Target="https://euneighbourseast.eu/news-and-stories/latest-news/ukraine-eu-announces-e120-million-grant-to-support-societal-and-state-resilience/" TargetMode="External"/><Relationship Id="rId770" Type="http://schemas.openxmlformats.org/officeDocument/2006/relationships/hyperlink" Target="https://ec.europa.eu/commission/presscorner/detail/en/speech_22_2807" TargetMode="External"/><Relationship Id="rId216" Type="http://schemas.openxmlformats.org/officeDocument/2006/relationships/hyperlink" Target="https://bmi.gv.at/news.aspx?id=44786F67485A5049462F493D" TargetMode="External"/><Relationship Id="rId423" Type="http://schemas.openxmlformats.org/officeDocument/2006/relationships/hyperlink" Target="https://www.kmu.gov.ua/en/news/ukrayina-otrimaye-vid-yaponiyi-kredit-u-rozmiri-100-mln-dol-ssha-ta-grant-23-mln-dol-ssha" TargetMode="External"/><Relationship Id="rId868" Type="http://schemas.openxmlformats.org/officeDocument/2006/relationships/hyperlink" Target="https://www.cnbc.com/2022/06/15/biden-to-send-another-1-billion-in-military-aid-to-ukraine-.html" TargetMode="External"/><Relationship Id="rId630"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728" Type="http://schemas.openxmlformats.org/officeDocument/2006/relationships/hyperlink" Target="https://www.youtube.com/watch?v=vzENx6dTpqY" TargetMode="External"/><Relationship Id="rId64" Type="http://schemas.openxmlformats.org/officeDocument/2006/relationships/hyperlink" Target="https://cxtvnews.com/military/2022/03/07/japan-decides-to-send-military-supplies-to-ukraine/" TargetMode="External"/><Relationship Id="rId367" Type="http://schemas.openxmlformats.org/officeDocument/2006/relationships/hyperlink" Target="https://en.yna.co.kr/view/AEN20220413000800325" TargetMode="External"/><Relationship Id="rId574" Type="http://schemas.openxmlformats.org/officeDocument/2006/relationships/hyperlink" Target="https://www.weekend.at/chronik/200000-liter-diesel-aus-oesterreich-fuer-ukraine" TargetMode="External"/><Relationship Id="rId227" Type="http://schemas.openxmlformats.org/officeDocument/2006/relationships/hyperlink" Target="https://valtioneuvosto.fi/en/-/1410869/finland-sent-additional-civilian-material-assistance-to-ukraine-and-moldova" TargetMode="External"/><Relationship Id="rId781" Type="http://schemas.openxmlformats.org/officeDocument/2006/relationships/hyperlink" Target="https://kafkadesk.org/2022/04/06/czech-republic-becomes-first-country-to-send-tanks-to-ukraine/" TargetMode="External"/><Relationship Id="rId879" Type="http://schemas.openxmlformats.org/officeDocument/2006/relationships/hyperlink" Target="https://theaviationgeekclub.com/czech-republic-has-transferred-attack-helicopters-likely-mil-mi-24-hinds-to-ukraine/" TargetMode="External"/><Relationship Id="rId434" Type="http://schemas.openxmlformats.org/officeDocument/2006/relationships/hyperlink" Target="https://www.youtube.com/watch?v=A1nTsblXabc" TargetMode="External"/><Relationship Id="rId641" Type="http://schemas.openxmlformats.org/officeDocument/2006/relationships/hyperlink" Target="https://www.theportugalnews.com/news/2022-04-12/portugal-sending-over-99-tonnes-of-medical-and-military-materials/66356" TargetMode="External"/><Relationship Id="rId739" Type="http://schemas.openxmlformats.org/officeDocument/2006/relationships/hyperlink" Target="https://intermin.fi/en/ukraine/civilian-assistance-to-ukraine" TargetMode="External"/><Relationship Id="rId280" Type="http://schemas.openxmlformats.org/officeDocument/2006/relationships/hyperlink" Target="https://twitter.com/florence_parly/status/1514275166158790666" TargetMode="External"/><Relationship Id="rId501" Type="http://schemas.openxmlformats.org/officeDocument/2006/relationships/hyperlink" Target="https://coffeeordie.com/m777-howitzers-ukraine/" TargetMode="External"/><Relationship Id="rId75" Type="http://schemas.openxmlformats.org/officeDocument/2006/relationships/hyperlink" Target="https://www.maltatoday.com.mt/news/national/115195/malta_will_give_medical_supplies_to_ukraine_as_eu_leaders_agree_on_sanctions" TargetMode="External"/><Relationship Id="rId140" Type="http://schemas.openxmlformats.org/officeDocument/2006/relationships/hyperlink" Target="https://americanews.news/fact-sheet-the-biden-administration-announces-new-humanitarian-development-and-democracy-assistance-11404.html" TargetMode="External"/><Relationship Id="rId378" Type="http://schemas.openxmlformats.org/officeDocument/2006/relationships/hyperlink" Target="https://um.dk/en/danida/countries-and-regions/ukraine" TargetMode="External"/><Relationship Id="rId585" Type="http://schemas.openxmlformats.org/officeDocument/2006/relationships/hyperlink" Target="https://www.ekathimerini.com/news/1179620/greek-role-within-nato-is-upgraded/" TargetMode="External"/><Relationship Id="rId792" Type="http://schemas.openxmlformats.org/officeDocument/2006/relationships/hyperlink" Target="https://www.ctvnews.ca/politics/canada-pledges-more-aid-and-loans-to-ukraine-as-g7-targets-russian-oil-1.5965947" TargetMode="External"/><Relationship Id="rId806" Type="http://schemas.openxmlformats.org/officeDocument/2006/relationships/hyperlink" Target="https://www.bundesregierung.de/breg-de/themen/krieg-in-der-ukraine/lieferungen-ukraine-2054514" TargetMode="External"/><Relationship Id="rId6" Type="http://schemas.openxmlformats.org/officeDocument/2006/relationships/hyperlink" Target="https://www.lefigaro.fr/flash-actu/la-france-a-envoye-33-tonnes-d-aide-humanitaire-pour-l-ukraine-20220228" TargetMode="External"/><Relationship Id="rId238" Type="http://schemas.openxmlformats.org/officeDocument/2006/relationships/hyperlink" Target="https://www.whitehouse.gov/briefing-room/statements-releases/2022/03/30/press-briefing-by-communications-director-kate-bedingfield/" TargetMode="External"/><Relationship Id="rId445" Type="http://schemas.openxmlformats.org/officeDocument/2006/relationships/hyperlink" Target="https://www.news.az/news/sweden-pledges-additional-23-million-for-humanitarian-actions-in-ukraine" TargetMode="External"/><Relationship Id="rId652" Type="http://schemas.openxmlformats.org/officeDocument/2006/relationships/hyperlink" Target="https://english.radio.cz/czech-republic-sends-further-humanitarian-aid-ukraine-8752601" TargetMode="External"/><Relationship Id="rId291" Type="http://schemas.openxmlformats.org/officeDocument/2006/relationships/hyperlink" Target="https://www.keeptalkinggreece.com/2022/03/18/greece-rebuild-maternity-hospital-mariupol/" TargetMode="External"/><Relationship Id="rId305" Type="http://schemas.openxmlformats.org/officeDocument/2006/relationships/hyperlink" Target="https://www.rtvslo.si/radio-si/news/slovenia-promises-aid-to-ukraine/625786" TargetMode="External"/><Relationship Id="rId512" Type="http://schemas.openxmlformats.org/officeDocument/2006/relationships/hyperlink" Target="https://www.cbc.ca/news/politics/canada-ukraine-artillery-1.6426132" TargetMode="External"/><Relationship Id="rId86" Type="http://schemas.openxmlformats.org/officeDocument/2006/relationships/hyperlink" Target="https://www.bnnbloomberg.ca/imf-creates-new-account-to-help-ukraine-as-canada-pledges-funds-1.1749951" TargetMode="External"/><Relationship Id="rId151" Type="http://schemas.openxmlformats.org/officeDocument/2006/relationships/hyperlink" Target="https://www.gov.uk/government/speeches/ukraine-foreign-secretary-statement-to-parliament-28-march-2022" TargetMode="External"/><Relationship Id="rId389" Type="http://schemas.openxmlformats.org/officeDocument/2006/relationships/hyperlink" Target="https://appropriations.house.gov/sites/democrats.appropriations.house.gov/files/Additional%20Ukraine%20Suplemental%20Appropriations%20Act%20Summary.pdf" TargetMode="External"/><Relationship Id="rId596" Type="http://schemas.openxmlformats.org/officeDocument/2006/relationships/hyperlink" Target="https://www.faz.net/aktuell/politik/inland/spanien-erwaegt-lieferung-deutscher-kampfpanzer-an-die-ukraine-18084152.html" TargetMode="External"/><Relationship Id="rId817" Type="http://schemas.openxmlformats.org/officeDocument/2006/relationships/hyperlink" Target="https://www.ukrinform.net/rubric-ato/3491327-canada-to-give-ukraine-over-20000-155-mm-shells.html" TargetMode="External"/><Relationship Id="rId249" Type="http://schemas.openxmlformats.org/officeDocument/2006/relationships/hyperlink" Target="https://www.oryxspioenkop.com/2022/04/beyond-call-dutch-arms-deliveries-to.html" TargetMode="External"/><Relationship Id="rId456" Type="http://schemas.openxmlformats.org/officeDocument/2006/relationships/hyperlink" Target="https://www.ukrinform.net/rubric-defense/3463928-spain-sends-new-military-aid-batch-to-ukraine.html" TargetMode="External"/><Relationship Id="rId663" Type="http://schemas.openxmlformats.org/officeDocument/2006/relationships/hyperlink" Target="https://www.politico.eu/article/norway-ukraine-donates-howitzers/" TargetMode="External"/><Relationship Id="rId870" Type="http://schemas.openxmlformats.org/officeDocument/2006/relationships/hyperlink" Target="https://www.defense.gov/News/Releases/Release/Article/2987119/defense-department-announces-300-million-in-additional-assistance-for-ukraine/" TargetMode="External"/><Relationship Id="rId13" Type="http://schemas.openxmlformats.org/officeDocument/2006/relationships/hyperlink" Target="https://vlada.gov.hr/news/croatia-had-sided-with-freedom-and-democracy-and-with-the-ukrainian-people-which-is-the-only-right-way/34979" TargetMode="External"/><Relationship Id="rId109" Type="http://schemas.openxmlformats.org/officeDocument/2006/relationships/hyperlink" Target="https://www.vlada.cz/cz/media-centrum/aktualne/vlada-kvuli-migracni-krizi-vyhlasila-od-patku-nouzovy-stav--schvalila-i-dalsi-pomoc-pro-ukrajinu-a-navrh-na-zvyseni-vydaju-na-obranu-194695/" TargetMode="External"/><Relationship Id="rId316" Type="http://schemas.openxmlformats.org/officeDocument/2006/relationships/hyperlink" Target="https://twitter.com/USAIDUkraine/status/1522237212334641152" TargetMode="External"/><Relationship Id="rId523" Type="http://schemas.openxmlformats.org/officeDocument/2006/relationships/hyperlink" Target="https://www.france24.com/en/live-news/20220601-arms-for-ukraine-who-has-sent-what" TargetMode="External"/><Relationship Id="rId97" Type="http://schemas.openxmlformats.org/officeDocument/2006/relationships/hyperlink" Target="https://mfa.gov.cy/press-releases/2022/03/09/cyprus-humanitarian-aid-to-ukraine/" TargetMode="External"/><Relationship Id="rId730" Type="http://schemas.openxmlformats.org/officeDocument/2006/relationships/hyperlink" Target="https://intermin.fi/en/ukraine/civilian-assistance-to-ukraine" TargetMode="External"/><Relationship Id="rId828" Type="http://schemas.openxmlformats.org/officeDocument/2006/relationships/hyperlink" Target="https://kyivindependent.com/uncategorized/poland-has-provided-ukraine-with-weapons-worth-1-6-billion/" TargetMode="External"/><Relationship Id="rId162" Type="http://schemas.openxmlformats.org/officeDocument/2006/relationships/hyperlink" Target="https://twitter.com/eduardheger/status/1498055152045015046" TargetMode="External"/><Relationship Id="rId467" Type="http://schemas.openxmlformats.org/officeDocument/2006/relationships/hyperlink" Target="https://www.esteri.it/en/politica-estera-e-cooperazione-allo-sviluppo/aree_geografiche/europa/litalia-a-sostegno-dellucraina/" TargetMode="External"/><Relationship Id="rId674"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81" Type="http://schemas.openxmlformats.org/officeDocument/2006/relationships/hyperlink" Target="https://kyivindependent.com/news-feed/slovakia-supplies-5-helicopters-ammunition-for-grad-multiple-rocket-launchers" TargetMode="External"/><Relationship Id="rId24" Type="http://schemas.openxmlformats.org/officeDocument/2006/relationships/hyperlink" Target="https://www.gov.ie/en/press-release/b80b7-government-ministers-announce-irish-support-for-ukrainian-health-service/?msclkid=07ab0901b05a11ec8239ca04bfcdbb9d" TargetMode="External"/><Relationship Id="rId327" Type="http://schemas.openxmlformats.org/officeDocument/2006/relationships/hyperlink" Target="https://www.regjeringen.no/en/topics/foreign-affairs/humanitarian-efforts/neighbour_support/id2908141/" TargetMode="External"/><Relationship Id="rId534" Type="http://schemas.openxmlformats.org/officeDocument/2006/relationships/hyperlink" Target="https://euroweeklynews.com/2022/03/05/spanish-grenade-launchers-sent-to-ukraine/" TargetMode="External"/><Relationship Id="rId741" Type="http://schemas.openxmlformats.org/officeDocument/2006/relationships/hyperlink" Target="https://www.peterdutton.com.au/joint-media-release-australia-to-provide-additional-support-to-ukraine/" TargetMode="External"/><Relationship Id="rId839" Type="http://schemas.openxmlformats.org/officeDocument/2006/relationships/hyperlink" Target="https://spectator.sme.sk/c/22895899/slovakia-donates-military-equipment-to-ukraine.html" TargetMode="External"/><Relationship Id="rId173" Type="http://schemas.openxmlformats.org/officeDocument/2006/relationships/hyperlink" Target="https://www.defensa.gob.es/gabinete/notasPrensa/2022/04/DGC-220408-visita-centro-militar-farmacia.html" TargetMode="External"/><Relationship Id="rId380" Type="http://schemas.openxmlformats.org/officeDocument/2006/relationships/hyperlink" Target="https://mof.gov.ua/en/news/ukraines_state_budget_financing_since_the_beginning_of_the_full-scale_war-3435" TargetMode="External"/><Relationship Id="rId601" Type="http://schemas.openxmlformats.org/officeDocument/2006/relationships/hyperlink" Target="https://mil.in.ua/en/news/belgium-made-a-decision-to-hand-over-artillery-to-ukraine-the-media/" TargetMode="External"/><Relationship Id="rId240" Type="http://schemas.openxmlformats.org/officeDocument/2006/relationships/hyperlink" Target="https://www.ukrinform.net/rubric-ato/3462246-japan-to-extend-300-million-in-loans-to-ukraine.html" TargetMode="External"/><Relationship Id="rId478" Type="http://schemas.openxmlformats.org/officeDocument/2006/relationships/hyperlink" Target="https://tfiglobalnews.com/2022/03/21/canada-wanted-to-supply-weapons-to-ukraine-turns-out-it-didnt-have-any/" TargetMode="External"/><Relationship Id="rId685" Type="http://schemas.openxmlformats.org/officeDocument/2006/relationships/hyperlink" Target="https://www.vlada.cz/cz/media-centrum/aktualne/bezpecnostni-rada-statu-se-zabyvala-aktualni-bezpecnostni-situaci-po-napadeni-nezavisle-ukrajiny-vojsky-ruske-federace-194513/" TargetMode="External"/><Relationship Id="rId892" Type="http://schemas.openxmlformats.org/officeDocument/2006/relationships/hyperlink" Target="https://www.kyivpost.com/ukraine-politics/after-all-the-foreign-artillery-deliveries-why-is-ukraine-demanding-more-and-better-guns.html" TargetMode="External"/><Relationship Id="rId35" Type="http://schemas.openxmlformats.org/officeDocument/2006/relationships/hyperlink" Target="https://www.irishtimes.com/news/health/thousands-of-blood-bags-and-protective-suits-among-irish-aid-sent-to-ukraine-1.4824403" TargetMode="External"/><Relationship Id="rId100" Type="http://schemas.openxmlformats.org/officeDocument/2006/relationships/hyperlink" Target="https://www.vlada.cz/cz/media-centrum/aktualne/vlada-schvalila-dalsi-materialni-pomoc-pro-ukrajinu-a-opatreni-na-pomoc-se-zvladnutim-migracni-krize-194727/" TargetMode="External"/><Relationship Id="rId338" Type="http://schemas.openxmlformats.org/officeDocument/2006/relationships/hyperlink" Target="https://reliefweb.int/report/ukraine/switzerland-steps-humanitarian-aid-ukraine" TargetMode="External"/><Relationship Id="rId545" Type="http://schemas.openxmlformats.org/officeDocument/2006/relationships/hyperlink" Target="https://www.bbc.com/news/world-europe-61482305" TargetMode="External"/><Relationship Id="rId752" Type="http://schemas.openxmlformats.org/officeDocument/2006/relationships/hyperlink" Target="https://www.cbc.ca/news/politics/nato-arms-canada-1.6506611" TargetMode="External"/><Relationship Id="rId184" Type="http://schemas.openxmlformats.org/officeDocument/2006/relationships/hyperlink" Target="https://www.gov.si/en/news/2022-03-07-eu-development-ministers-on-emergency-humanitarian-aid-to-ukraine/" TargetMode="External"/><Relationship Id="rId391" Type="http://schemas.openxmlformats.org/officeDocument/2006/relationships/hyperlink" Target="https://meta-defense.fr/en/2022/04/22/france-will-deliver-caesar-mobile-artillery-systems-to-ukraine/" TargetMode="External"/><Relationship Id="rId405" Type="http://schemas.openxmlformats.org/officeDocument/2006/relationships/hyperlink" Target="https://www.canada.ca/en/department-finance/news/2022/05/canada-provides-additional-financial-support-to-ukraine.html" TargetMode="External"/><Relationship Id="rId612" Type="http://schemas.openxmlformats.org/officeDocument/2006/relationships/hyperlink" Target="https://www.vlada.cz/cz/media-centrum/aktualne/vlada-schvalila-dalsi-dar-v-podobe-vojenskeho-materialu-ukrajine-194585/" TargetMode="External"/><Relationship Id="rId251" Type="http://schemas.openxmlformats.org/officeDocument/2006/relationships/hyperlink" Target="https://news.az/news/lithuania-supplies-another-batch-of-weapons-to-ukraine" TargetMode="External"/><Relationship Id="rId489" Type="http://schemas.openxmlformats.org/officeDocument/2006/relationships/hyperlink" Target="https://appropriations.house.gov/sites/democrats.appropriations.house.gov/files/Additional%20Ukraine%20Suplemental%20Appropriations%20Act%20Summary.pdf" TargetMode="External"/><Relationship Id="rId696" Type="http://schemas.openxmlformats.org/officeDocument/2006/relationships/hyperlink" Target="https://www.spiegel.de/politik/deutschland/scholz-kuendigt-panzer-ringtausch-mit-griechenland-an-a-9dd166da-edd2-426f-9873-9d48065f3e3a" TargetMode="External"/><Relationship Id="rId46" Type="http://schemas.openxmlformats.org/officeDocument/2006/relationships/hyperlink" Target="https://netherlandsnewslive.com/the-netherlands-supplies-medicines-and-medical-supplies-to-ukraine/373516/" TargetMode="External"/><Relationship Id="rId349" Type="http://schemas.openxmlformats.org/officeDocument/2006/relationships/hyperlink" Target="https://www.regjeringen.no/en/topics/foreign-affairs/humanitarian-efforts/neighbour_support/id2908141/" TargetMode="External"/><Relationship Id="rId556" Type="http://schemas.openxmlformats.org/officeDocument/2006/relationships/hyperlink" Target="https://www.eib.org/en/press/all/2022-124-first-payments-under-eib-ukraine-solidarity-urgent-response-reach-ukraine-as-part-of-european-union-immediate-support-to-the-country" TargetMode="External"/><Relationship Id="rId763" Type="http://schemas.openxmlformats.org/officeDocument/2006/relationships/hyperlink" Target="https://www.rijksoverheid.nl/documenten/kamerstukken/2022/02/27/kamerbrief-update-afgifte-vergunning-voor-de-export-van-militaire-goederen-aan-oekraine" TargetMode="External"/><Relationship Id="rId111" Type="http://schemas.openxmlformats.org/officeDocument/2006/relationships/hyperlink" Target="https://english.radio.cz/czech-republic-send-more-arms-ukraine-8745032" TargetMode="External"/><Relationship Id="rId195" Type="http://schemas.openxmlformats.org/officeDocument/2006/relationships/hyperlink" Target="https://twitter.com/Defensagob/status/1508877933242372096" TargetMode="External"/><Relationship Id="rId209" Type="http://schemas.openxmlformats.org/officeDocument/2006/relationships/hyperlink" Target="https://appropriations.house.gov/sites/democrats.appropriations.house.gov/files/Ukraine%20Supplemental%20Summary.pdf" TargetMode="External"/><Relationship Id="rId416" Type="http://schemas.openxmlformats.org/officeDocument/2006/relationships/hyperlink" Target="https://www.maritime-executive.com/article/denmark-pledges-to-provide-ukraine-with-harpoon-anti-ship-missiles" TargetMode="External"/><Relationship Id="rId623" Type="http://schemas.openxmlformats.org/officeDocument/2006/relationships/hyperlink" Target="https://www.rferl.org/a/czech-republic-poland-new-military-aid-ukraine/31873938.html" TargetMode="External"/><Relationship Id="rId830" Type="http://schemas.openxmlformats.org/officeDocument/2006/relationships/hyperlink" Target="https://kyivindependent.com/uncategorized/poland-has-provided-ukraine-with-weapons-worth-1-6-billion/" TargetMode="External"/><Relationship Id="rId57" Type="http://schemas.openxmlformats.org/officeDocument/2006/relationships/hyperlink" Target="https://delano.lu/article/zelenskyy-thanks-luxembourg-fo" TargetMode="External"/><Relationship Id="rId262" Type="http://schemas.openxmlformats.org/officeDocument/2006/relationships/hyperlink" Target="https://www.defmin.fi/en/topical/press_releases_and_news/finland_delivers_more_defence_materiel_to_ukraine.12553.news" TargetMode="External"/><Relationship Id="rId567" Type="http://schemas.openxmlformats.org/officeDocument/2006/relationships/hyperlink" Target="https://www.politico.eu/article/eu-to-increase-military-support-fund-for-ukraine-2-billion/" TargetMode="External"/><Relationship Id="rId122" Type="http://schemas.openxmlformats.org/officeDocument/2006/relationships/hyperlink" Target="https://twitter.com/eduardheger/status/1498055152045015046" TargetMode="External"/><Relationship Id="rId774" Type="http://schemas.openxmlformats.org/officeDocument/2006/relationships/hyperlink" Target="https://www.reuters.com/world/china/china-says-it-will-offer-10-mln-yuan-more-humanitarian-aid-ukraine-2022-03-21/" TargetMode="External"/><Relationship Id="rId427" Type="http://schemas.openxmlformats.org/officeDocument/2006/relationships/hyperlink" Target="https://www.mfa.gov.lv/en/article/latvian-foreign-ministry-channel-eur-24000000-towards-assistance-ukraine" TargetMode="External"/><Relationship Id="rId634" Type="http://schemas.openxmlformats.org/officeDocument/2006/relationships/hyperlink" Target="https://www-forsvaret-no.translate.goog/aktuelt-og-presse/aktuelt/sender-militaerutstyr-og-vapen-til-ukraina?_x_tr_sl=auto&amp;_x_tr_tl=auto&amp;_x_tr_hl=de" TargetMode="External"/><Relationship Id="rId841" Type="http://schemas.openxmlformats.org/officeDocument/2006/relationships/hyperlink" Target="https://www.defensenews.com/global/europe/2022/04/11/slovakia-could-sell-howitzers-to-ukraine-and-repair-its-tanks-vehicles/" TargetMode="External"/><Relationship Id="rId26" Type="http://schemas.openxmlformats.org/officeDocument/2006/relationships/hyperlink" Target="https://www.government.nl/topics/russia-and-ukraine/dutch-aid-for-ukraine" TargetMode="External"/><Relationship Id="rId231" Type="http://schemas.openxmlformats.org/officeDocument/2006/relationships/hyperlink" Target="https://www.worldbank.org/en/news/press-release/2022/03/07/world-bank-mobilizes-an-emergency-financing-package-of-over-700-million-for-ukraine" TargetMode="External"/><Relationship Id="rId273" Type="http://schemas.openxmlformats.org/officeDocument/2006/relationships/hyperlink" Target="https://www.youtube.com/watch?v=vzENx6dTpqY" TargetMode="External"/><Relationship Id="rId329" Type="http://schemas.openxmlformats.org/officeDocument/2006/relationships/hyperlink" Target="https://twitter.com/AFADTurkey/status/1497633720068714497" TargetMode="External"/><Relationship Id="rId480" Type="http://schemas.openxmlformats.org/officeDocument/2006/relationships/hyperlink" Target="https://tfiglobalnews.com/2022/03/21/canada-wanted-to-supply-weapons-to-ukraine-turns-out-it-didnt-have-any/" TargetMode="External"/><Relationship Id="rId536" Type="http://schemas.openxmlformats.org/officeDocument/2006/relationships/hyperlink" Target="https://www.thelocal.es/20220421/spain-sends-200-tonnes-of-military-material-to-ukraine-pm/" TargetMode="External"/><Relationship Id="rId701" Type="http://schemas.openxmlformats.org/officeDocument/2006/relationships/hyperlink" Target="https://www.rferl.org/a/czech-republic-poland-new-military-aid-ukraine/31873938.html" TargetMode="External"/><Relationship Id="rId68" Type="http://schemas.openxmlformats.org/officeDocument/2006/relationships/hyperlink" Target="https://www.lrt.lt/en/news-in-english/19/1652048/lithuania-to-provide-eur10m-in-military-aid-to-ukraine" TargetMode="External"/><Relationship Id="rId133" Type="http://schemas.openxmlformats.org/officeDocument/2006/relationships/hyperlink" Target="https://www.euronews.com/next/2022/03/21/ukraine-crisis-poland-cenbank" TargetMode="External"/><Relationship Id="rId175" Type="http://schemas.openxmlformats.org/officeDocument/2006/relationships/hyperlink" Target="https://www.gov.uk/government/news/uk-sets-out-new-multi-million-dollar-economic-package-of-support-for-ukraine" TargetMode="External"/><Relationship Id="rId340" Type="http://schemas.openxmlformats.org/officeDocument/2006/relationships/hyperlink" Target="https://www.regjeringen.no/en/aktuelt/norway-to-provide-weapons-to-ukraine/id2902587/" TargetMode="External"/><Relationship Id="rId578" Type="http://schemas.openxmlformats.org/officeDocument/2006/relationships/hyperlink" Target="https://www.ctvnews.ca/politics/a-lot-more-people-are-going-to-die-canada-sending-more-lethal-weapons-to-ukraine-1.5804357" TargetMode="External"/><Relationship Id="rId743" Type="http://schemas.openxmlformats.org/officeDocument/2006/relationships/hyperlink" Target="https://www.globalcitizen.org/en/content/australia-ukraine-aid-follow-up/" TargetMode="External"/><Relationship Id="rId785" Type="http://schemas.openxmlformats.org/officeDocument/2006/relationships/hyperlink" Target="https://mezha.media/en/2022/04/15/new-weapon-deliveries-from-the-czech-republic-dana-self-propelled-artillery-and-rm-70-multiple-rocket-launcher/" TargetMode="External"/><Relationship Id="rId200" Type="http://schemas.openxmlformats.org/officeDocument/2006/relationships/hyperlink" Target="https://www.state.gov/100-million-in-new-u-s-civilian-security-assistance-for-ukraine/" TargetMode="External"/><Relationship Id="rId382" Type="http://schemas.openxmlformats.org/officeDocument/2006/relationships/hyperlink" Target="https://www.gov.uk/government/publications/world-bank-spring-meetings-2022-uk-governors-statement/world-bank-spring-meetings-2022-uk-governors-statement" TargetMode="External"/><Relationship Id="rId438" Type="http://schemas.openxmlformats.org/officeDocument/2006/relationships/hyperlink" Target="https://www.defensa.gob.es/gabinete/notasPrensa/2022/04/DGC-220408-visita-centro-militar-farmacia.html" TargetMode="External"/><Relationship Id="rId603" Type="http://schemas.openxmlformats.org/officeDocument/2006/relationships/hyperlink" Target="https://www.ukrinform.net/rubric-ato/3470180-bulgaria-to-give-ukraine-humanitarian-aid-worth-over-eur-700000-shmyhal.html" TargetMode="External"/><Relationship Id="rId645" Type="http://schemas.openxmlformats.org/officeDocument/2006/relationships/hyperlink" Target="https://europe-cities.com/2022/04/30/us-pressuring-portugal-to-cede-armored-vehicles-to-ukraine/" TargetMode="External"/><Relationship Id="rId687" Type="http://schemas.openxmlformats.org/officeDocument/2006/relationships/hyperlink" Target="https://www.diplomatie.gouv.fr/en/country-files/ukraine/news/article/ukraine-special-delivery-of-emergency-medical-aid-by-france-joint-communique" TargetMode="External"/><Relationship Id="rId810" Type="http://schemas.openxmlformats.org/officeDocument/2006/relationships/hyperlink" Target="https://nextcloud.auf.bundeswehr.de/s/AqqWmDg3m5kxg5o" TargetMode="External"/><Relationship Id="rId852" Type="http://schemas.openxmlformats.org/officeDocument/2006/relationships/hyperlink" Target="https://focustaiwan.tw/politics/202206200021" TargetMode="External"/><Relationship Id="rId242" Type="http://schemas.openxmlformats.org/officeDocument/2006/relationships/hyperlink" Target="https://www.aa.com.tr/en/europe/france-to-deliver-caesar-artillery-guns-shells-to-ukraine/2570644" TargetMode="External"/><Relationship Id="rId284" Type="http://schemas.openxmlformats.org/officeDocument/2006/relationships/hyperlink" Target="https://www.reuters.com/article/ukraine-crisis-france-loan-idUSL5N2VX4PT" TargetMode="External"/><Relationship Id="rId491" Type="http://schemas.openxmlformats.org/officeDocument/2006/relationships/hyperlink" Target="https://appropriations.house.gov/sites/democrats.appropriations.house.gov/files/Additional%20Ukraine%20Suplemental%20Appropriations%20Act%20Summary.pdf" TargetMode="External"/><Relationship Id="rId505" Type="http://schemas.openxmlformats.org/officeDocument/2006/relationships/hyperlink" Target="https://www.thenationalherald.com/russias-ukraine-invasion-sees-greece-taking-bigger-nato-role/" TargetMode="External"/><Relationship Id="rId712" Type="http://schemas.openxmlformats.org/officeDocument/2006/relationships/hyperlink" Target="https://www.gazzettaufficiale.it/atto/serie_generale/caricaDettaglioAtto/originario?atto.dataPubblicazioneGazzetta=2022-05-13&amp;atto.codiceRedazionale=22A02976&amp;elenco30giorni=false" TargetMode="External"/><Relationship Id="rId894" Type="http://schemas.openxmlformats.org/officeDocument/2006/relationships/printerSettings" Target="../printerSettings/printerSettings2.bin"/><Relationship Id="rId37" Type="http://schemas.openxmlformats.org/officeDocument/2006/relationships/hyperlink" Target="https://dailynewshungary.com/hungary-to-send-shipment-of-medical-equipment-to-ukraine/" TargetMode="External"/><Relationship Id="rId79" Type="http://schemas.openxmlformats.org/officeDocument/2006/relationships/hyperlink" Target="https://www.canada.ca/en/global-affairs/news/2022/03/canada-announces-100-million-humanitarian-assistance-to-ukraine.html" TargetMode="External"/><Relationship Id="rId102" Type="http://schemas.openxmlformats.org/officeDocument/2006/relationships/hyperlink" Target="https://english.radio.cz/czech-republic-sending-more-arms-ukraine-8743811" TargetMode="External"/><Relationship Id="rId144" Type="http://schemas.openxmlformats.org/officeDocument/2006/relationships/hyperlink" Target="https://www.telegraph.co.uk/world-news/2022/03/24/ukraine-morning-briefing-five-developments-britain-agrees-send/" TargetMode="External"/><Relationship Id="rId547" Type="http://schemas.openxmlformats.org/officeDocument/2006/relationships/hyperlink" Target="https://ec.europa.eu/commission/presscorner/detail/en/speech_22_1483" TargetMode="External"/><Relationship Id="rId589" Type="http://schemas.openxmlformats.org/officeDocument/2006/relationships/hyperlink" Target="https://twitter.com/visegrad24/status/1504145180647170060?cxt=HHwWmIC58dGE5t8pAAAA" TargetMode="External"/><Relationship Id="rId754" Type="http://schemas.openxmlformats.org/officeDocument/2006/relationships/hyperlink" Target="https://mil.in.ua/en/news/harpoon-what-is-known-about-danish-coastal-missile-systems/" TargetMode="External"/><Relationship Id="rId796" Type="http://schemas.openxmlformats.org/officeDocument/2006/relationships/hyperlink" Target="https://www.diplomatie.gouv.fr/en/country-files/ukraine/news/article/ukraine-france-mobilised-to-support-ukraine-through-medical-care-for-war" TargetMode="External"/><Relationship Id="rId90" Type="http://schemas.openxmlformats.org/officeDocument/2006/relationships/hyperlink" Target="https://www.canada.ca/en/department-national-defence/news/2022/02/canada-commits-lethal-weapons-and-ammunition-in-support-of-ukraine.html" TargetMode="External"/><Relationship Id="rId186" Type="http://schemas.openxmlformats.org/officeDocument/2006/relationships/hyperlink" Target="https://ec.europa.eu/commission/presscorner/detail/en/ip_22_1222" TargetMode="External"/><Relationship Id="rId351" Type="http://schemas.openxmlformats.org/officeDocument/2006/relationships/hyperlink" Target="https://www.regjeringen.no/en/topics/foreign-affairs/humanitarian-efforts/neighbour_support/id2908141/" TargetMode="External"/><Relationship Id="rId393" Type="http://schemas.openxmlformats.org/officeDocument/2006/relationships/hyperlink" Target="https://www.gov.ie/en/press-release/b80b7-government-ministers-announce-irish-support-for-ukrainian-health-service/?msclkid=07ab0901b05a11ec8239ca04bfcdbb9d" TargetMode="External"/><Relationship Id="rId407" Type="http://schemas.openxmlformats.org/officeDocument/2006/relationships/hyperlink" Target="https://www.republicworld.com/world-news/russia-ukraine-crisis/canada-announces-additional-loan-of-250mn-for-ukraine-as-russian-invasion-enters-day-87-articleshow.html" TargetMode="External"/><Relationship Id="rId449" Type="http://schemas.openxmlformats.org/officeDocument/2006/relationships/hyperlink" Target="https://www.armyrecognition.com/defense_news_april_2022_global_security_army_industry/denmark_approves_delivery_of_m113_tracked_armored_vehicles_and_ammunition_to_ukraine.html" TargetMode="External"/><Relationship Id="rId614" Type="http://schemas.openxmlformats.org/officeDocument/2006/relationships/hyperlink" Target="https://pmtranscripts.pmc.gov.au/release/transcript-43831" TargetMode="External"/><Relationship Id="rId656" Type="http://schemas.openxmlformats.org/officeDocument/2006/relationships/hyperlink" Target="https://defence-blog.com/ukraine-receives-first-mi-17-helicopters-from-us/%20and%20https:/twitter.com/ukraine_world/status/1538181895892176897" TargetMode="External"/><Relationship Id="rId821" Type="http://schemas.openxmlformats.org/officeDocument/2006/relationships/hyperlink" Target="https://cxtvnews.com/military/2022/02/26/polish-military-aid-equipment-has-arrived-in-ukraine/" TargetMode="External"/><Relationship Id="rId863" Type="http://schemas.openxmlformats.org/officeDocument/2006/relationships/hyperlink" Target="https://www.defense.gov/News/Releases/Release/Article/3049472/700-million-in-additional-security-assistance-for-ukraine/" TargetMode="External"/><Relationship Id="rId211" Type="http://schemas.openxmlformats.org/officeDocument/2006/relationships/hyperlink" Target="https://appropriations.house.gov/sites/democrats.appropriations.house.gov/files/Ukraine%20Supplemental%20Summary.pdf" TargetMode="External"/><Relationship Id="rId253" Type="http://schemas.openxmlformats.org/officeDocument/2006/relationships/hyperlink" Target="https://www.youtube.com/watch?v=vzENx6dTpqY" TargetMode="External"/><Relationship Id="rId295" Type="http://schemas.openxmlformats.org/officeDocument/2006/relationships/hyperlink" Target="https://hellenicaid.mfa.gr/en/epikairotita/anakoinoseis/episkepse-upourgou-exoterikon-nikou.html" TargetMode="External"/><Relationship Id="rId309" Type="http://schemas.openxmlformats.org/officeDocument/2006/relationships/hyperlink" Target="https://www.gov.uk/government/news/pm-announces-further-humanitarian-aid-to-ukraine" TargetMode="External"/><Relationship Id="rId460" Type="http://schemas.openxmlformats.org/officeDocument/2006/relationships/hyperlink" Target="https://www.thedefensepost.com/2022/05/31/france-boost-arms-supplies-ukraine/" TargetMode="External"/><Relationship Id="rId516" Type="http://schemas.openxmlformats.org/officeDocument/2006/relationships/hyperlink" Target="https://twitter.com/visegrad24/status/1504145180647170060?cxt=HHwWmIC58dGE5t8pAAAA" TargetMode="External"/><Relationship Id="rId698" Type="http://schemas.openxmlformats.org/officeDocument/2006/relationships/hyperlink" Target="https://www.thebulletin.be/belgium-send-more-weapons-and-fuel-ukraine" TargetMode="External"/><Relationship Id="rId48" Type="http://schemas.openxmlformats.org/officeDocument/2006/relationships/hyperlink" Target="https://www.vlada.cz/cz/media-centrum/aktualne/vlada-kvuli-migracni-krizi-vyhlasila-od-patku-nouzovy-stav--schvalila-i-dalsi-pomoc-pro-ukrajinu-a-navrh-na-zvyseni-vydaju-na-obranu-194695/" TargetMode="External"/><Relationship Id="rId113" Type="http://schemas.openxmlformats.org/officeDocument/2006/relationships/hyperlink" Target="https://www.vlada.cz/cz/media-centrum/aktualne/vlada-schvalila-dalsi-dar-v-podobe-vojenskeho-materialu-ukrajine-194585/" TargetMode="External"/><Relationship Id="rId320" Type="http://schemas.openxmlformats.org/officeDocument/2006/relationships/hyperlink" Target="https://kaitseministeerium.ee/en/news/estonia-donated-missiles-anti-tank-weapon-system-javelin-ukraine" TargetMode="External"/><Relationship Id="rId558" Type="http://schemas.openxmlformats.org/officeDocument/2006/relationships/hyperlink" Target="https://www.eib.org/en/press/news/donation-ukraine" TargetMode="External"/><Relationship Id="rId723" Type="http://schemas.openxmlformats.org/officeDocument/2006/relationships/hyperlink" Target="https://nationalinterest.org/blog/buzz/us-phoenix-ghost-drones-are-helping-ukraine-take-fight-russia-202249" TargetMode="External"/><Relationship Id="rId765" Type="http://schemas.openxmlformats.org/officeDocument/2006/relationships/hyperlink" Target="https://www.thehindu.com/news/national/ukraine-expects-india-to-participate-actively-in-post-war-construction/article65491977.ece" TargetMode="External"/><Relationship Id="rId155" Type="http://schemas.openxmlformats.org/officeDocument/2006/relationships/hyperlink" Target="https://www.government.se/articles/2022/02/sweden-to-provide-direct-support-and-defence-materiel-to-ukraine/" TargetMode="External"/><Relationship Id="rId197" Type="http://schemas.openxmlformats.org/officeDocument/2006/relationships/hyperlink" Target="https://www.gov.uk/government/news/prime-minister-pledges-uks-unwavering-support-to-ukraine-on-visit-to-kyiv-9-april-2022" TargetMode="External"/><Relationship Id="rId362" Type="http://schemas.openxmlformats.org/officeDocument/2006/relationships/hyperlink" Target="https://www.aa.com.tr/en/russia-ukraine-war/new-zealand-announces-13m-additional-aid-for-ukraine/2560551" TargetMode="External"/><Relationship Id="rId418" Type="http://schemas.openxmlformats.org/officeDocument/2006/relationships/hyperlink" Target="https://www.reuters.com/article/us-ukraine-crisis-harpoon-idUKKCN2N91YC" TargetMode="External"/><Relationship Id="rId625" Type="http://schemas.openxmlformats.org/officeDocument/2006/relationships/hyperlink" Target="https://www.foreignminister.gov.au/minister/marise-payne/media-release/additional-support-ukraine" TargetMode="External"/><Relationship Id="rId832" Type="http://schemas.openxmlformats.org/officeDocument/2006/relationships/hyperlink" Target="https://www.wsj.com/livecoverage/russia-ukraine-latest-news-2022-04-29/card/poland-has-sent-more-than-200-tanks-to-ukraine-Krwar3DCPzHJJk4UMVh4" TargetMode="External"/><Relationship Id="rId222" Type="http://schemas.openxmlformats.org/officeDocument/2006/relationships/hyperlink" Target="https://www.praguemorning.cz/czech-governmenet-approves-czk-400-million-in-military-aid-for-ukraine/" TargetMode="External"/><Relationship Id="rId264"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471" Type="http://schemas.openxmlformats.org/officeDocument/2006/relationships/hyperlink" Target="https://www.onuitalia.com/2022/04/20/ucraina-sereni-da-italia-26-milioni-di-aiuti-umanitari/" TargetMode="External"/><Relationship Id="rId667" Type="http://schemas.openxmlformats.org/officeDocument/2006/relationships/hyperlink" Target="https://www.ukrinform.net/rubric-ato/3500636-sweden-to-provide-ukraine-with-ag-90-antimateriel-sniper-rifles-at4-antitank-weapons.html" TargetMode="External"/><Relationship Id="rId874" Type="http://schemas.openxmlformats.org/officeDocument/2006/relationships/hyperlink" Target="https://defence-blog.com/ukraine-receives-rq-20-unarmed-aerial-vehicles-donated-by-us/" TargetMode="External"/><Relationship Id="rId17" Type="http://schemas.openxmlformats.org/officeDocument/2006/relationships/hyperlink" Target="https://telex.hu/kulfold/2022/02/27/magyarorszag-100-ezer-liter-uzemanyagot-adomanyozott-karpataljanak" TargetMode="External"/><Relationship Id="rId59" Type="http://schemas.openxmlformats.org/officeDocument/2006/relationships/hyperlink" Target="https://www.irishtimes.com/news/ireland/irish-news/irish-government-provides-10-million-in-humanitarian-support-for-ukraine-1.4810982" TargetMode="External"/><Relationship Id="rId124" Type="http://schemas.openxmlformats.org/officeDocument/2006/relationships/hyperlink" Target="https://spectator.sme.sk/c/22850259/slovakia-will-send-more-military-aid-to-ukraine.html" TargetMode="External"/><Relationship Id="rId527" Type="http://schemas.openxmlformats.org/officeDocument/2006/relationships/hyperlink" Target="https://news.err.ee/1608555886/estonia-s-220-million-military-aid-to-ukraine-substantially-diversified" TargetMode="External"/><Relationship Id="rId569" Type="http://schemas.openxmlformats.org/officeDocument/2006/relationships/hyperlink" Target="https://www.consilium.europa.eu/en/press/press-releases/2022/05/24/eu-support-to-ukraine-council-agrees-on-further-increase-of-support-under-the-european-peace-facility/" TargetMode="External"/><Relationship Id="rId734" Type="http://schemas.openxmlformats.org/officeDocument/2006/relationships/hyperlink" Target="https://intermin.fi/en/ukraine/civilian-assistance-to-ukraine" TargetMode="External"/><Relationship Id="rId776" Type="http://schemas.openxmlformats.org/officeDocument/2006/relationships/hyperlink" Target="https://www.czdefence.com/article/ukrainian-armoured-vehicles-will-be-repaired-in-the-czech-republic" TargetMode="External"/><Relationship Id="rId70" Type="http://schemas.openxmlformats.org/officeDocument/2006/relationships/hyperlink" Target="https://www.lrt.lt/en/news-in-english/19/1628536/lithuania-to-send-eur4-million-medical-military-assistance-to-ukraine" TargetMode="External"/><Relationship Id="rId166" Type="http://schemas.openxmlformats.org/officeDocument/2006/relationships/hyperlink" Target="https://www.whitehouse.gov/briefing-room/press-briefings/2022/03/29/press-briefing-by-director-of-communications-kate-bedingfield/" TargetMode="External"/><Relationship Id="rId331" Type="http://schemas.openxmlformats.org/officeDocument/2006/relationships/hyperlink" Target="https://www.youtube.com/watch?v=vzENx6dTpqY" TargetMode="External"/><Relationship Id="rId373" Type="http://schemas.openxmlformats.org/officeDocument/2006/relationships/hyperlink" Target="https://www.france24.com/en/live-news/20220411-zelensky-says-he-believes-tens-of-thousands-killed-in-mariupol" TargetMode="External"/><Relationship Id="rId429" Type="http://schemas.openxmlformats.org/officeDocument/2006/relationships/hyperlink" Target="https://www.lrt.lt/en/news-in-english/19/1702086/lithuania-to-hand-over-eur15-5-million-worth-of-armoured-vehicles-trucks-suvs-to-ukraine" TargetMode="External"/><Relationship Id="rId580" Type="http://schemas.openxmlformats.org/officeDocument/2006/relationships/hyperlink" Target="https://torontosun.com/news/national/canada-shipping-20000-rounds-of-artillery-ammunition-to-ukraine" TargetMode="External"/><Relationship Id="rId636" Type="http://schemas.openxmlformats.org/officeDocument/2006/relationships/hyperlink" Target="https://www.tellerreport.com/news/2022-05-26-south-korea-to-provide-ukraine-with-chemical-defense-equipment-worth-1-5-billion-won.HJuNwyTvc.html" TargetMode="External"/><Relationship Id="rId801" Type="http://schemas.openxmlformats.org/officeDocument/2006/relationships/hyperlink" Target="https://torontosun.com/news/national/canada-shipping-20000-rounds-of-artillery-ammunition-to-ukraine" TargetMode="External"/><Relationship Id="rId1" Type="http://schemas.openxmlformats.org/officeDocument/2006/relationships/hyperlink" Target="https://www.diplomatie.gouv.fr/en/country-files/ukraine/news/article/ukraine-france-steps-up-humanitarian-relief-efforts-for-ukraine-10-mar-2022" TargetMode="External"/><Relationship Id="rId233" Type="http://schemas.openxmlformats.org/officeDocument/2006/relationships/hyperlink" Target="https://www.worldbank.org/en/news/press-release/2022/03/07/world-bank-mobilizes-an-emergency-financing-package-of-over-700-million-for-ukraine" TargetMode="External"/><Relationship Id="rId440" Type="http://schemas.openxmlformats.org/officeDocument/2006/relationships/hyperlink" Target="https://www.ukrinform.net/rubric-defense/3463928-spain-sends-new-military-aid-batch-to-ukraine.html" TargetMode="External"/><Relationship Id="rId678" Type="http://schemas.openxmlformats.org/officeDocument/2006/relationships/hyperlink" Target="https://www.reuters.com/world/europe/sweden-supply-more-military-aid-including-anti-ship-missiles-ukraine-2022-06-02/" TargetMode="External"/><Relationship Id="rId843" Type="http://schemas.openxmlformats.org/officeDocument/2006/relationships/hyperlink" Target="https://n1info.si/novice/svet/slovenija-ukrajini-ze-poslala-puske-streliva-in-celade/" TargetMode="External"/><Relationship Id="rId885" Type="http://schemas.openxmlformats.org/officeDocument/2006/relationships/hyperlink" Target="https://echo24.cz/a/SrjYb/cesko-poslalo-na-ukrajinu-desitky-tanku-t-72-a-bvp" TargetMode="External"/><Relationship Id="rId28" Type="http://schemas.openxmlformats.org/officeDocument/2006/relationships/hyperlink" Target="https://www.repubblica.it/politica/2022/03/01/news/armi_ucraina_di_governo_oggi_camere-339750246/" TargetMode="External"/><Relationship Id="rId275" Type="http://schemas.openxmlformats.org/officeDocument/2006/relationships/hyperlink" Target="https://ec.europa.eu/echo/news-stories/news/ukraine-eu-delivers-additional-assistance-rescue-vehicles-and-emergency-equipment-2022-03-25_de" TargetMode="External"/><Relationship Id="rId300" Type="http://schemas.openxmlformats.org/officeDocument/2006/relationships/hyperlink" Target="https://twitter.com/PremierRP_en/status/1510971075936542726" TargetMode="External"/><Relationship Id="rId482" Type="http://schemas.openxmlformats.org/officeDocument/2006/relationships/hyperlink" Target="https://apnews.com/article/russia-ukraine-janet-yellen-christian-lindner-91b5272f3c3381f340c6916653ddfa6a" TargetMode="External"/><Relationship Id="rId538" Type="http://schemas.openxmlformats.org/officeDocument/2006/relationships/hyperlink" Target="https://www.reuters.com/world/europe/sweden-provide-ukraine-with-5000-more-anti-tank-weapons-tt-news-agency-2022-03-23/" TargetMode="External"/><Relationship Id="rId703" Type="http://schemas.openxmlformats.org/officeDocument/2006/relationships/hyperlink" Target="https://kaitseministeerium.ee/en/news/estonia-donated-missiles-anti-tank-weapon-system-javelin-ukraine" TargetMode="External"/><Relationship Id="rId745" Type="http://schemas.openxmlformats.org/officeDocument/2006/relationships/hyperlink" Target="https://www.beehive.govt.nz/release/further-aotearoa-new-zealand-support-ukraine" TargetMode="External"/><Relationship Id="rId81" Type="http://schemas.openxmlformats.org/officeDocument/2006/relationships/hyperlink" Target="https://www.canada.ca/en/global-affairs/news/2022/02/canada-sending-additional-25m-military-aid-to-support-ukraine.html" TargetMode="External"/><Relationship Id="rId135" Type="http://schemas.openxmlformats.org/officeDocument/2006/relationships/hyperlink" Target="https://www.rtvslo.si/radio-si/news/slovenia-sending-more-aid-to-ukraine/616960" TargetMode="External"/><Relationship Id="rId177" Type="http://schemas.openxmlformats.org/officeDocument/2006/relationships/hyperlink" Target="https://www.gov.uk/government/speeches/pm-statement-at-ukraine-press-conference-1-february-2022" TargetMode="External"/><Relationship Id="rId342" Type="http://schemas.openxmlformats.org/officeDocument/2006/relationships/hyperlink" Target="https://www.regjeringen.no/en/aktuelt/air-defense-system-to-ukraine/id2908807/" TargetMode="External"/><Relationship Id="rId384" Type="http://schemas.openxmlformats.org/officeDocument/2006/relationships/hyperlink" Target="https://www.state.gov/the-united-states-announces-additional-humanitarian-assistance-for-the-people-of-ukraine/" TargetMode="External"/><Relationship Id="rId591" Type="http://schemas.openxmlformats.org/officeDocument/2006/relationships/hyperlink" Target="https://www.armyrecognition.com/defense_news_june_2022_global_security_army_industry/greece_to_donate_bmp-1p_tracked_armored_ifvs_to_ukraine_in_exchange_for_german_marder_1a3/1a5_ifvs.html" TargetMode="External"/><Relationship Id="rId605" Type="http://schemas.openxmlformats.org/officeDocument/2006/relationships/hyperlink" Target="https://www.kmu.gov.ua/en/news/denis-shmigal-ukrayina-vdyachna-bolgariyi-shcho-spilno-z-mizhnarodnoyu-spilnotoyu-bere-uchast-u-pidtrimci-nashoyi-krayini" TargetMode="External"/><Relationship Id="rId787" Type="http://schemas.openxmlformats.org/officeDocument/2006/relationships/hyperlink" Target="https://en.defence-ua.com/industries/czechia_sends_ukraine_mi_24_attack_helicopters-3051.html" TargetMode="External"/><Relationship Id="rId812" Type="http://schemas.openxmlformats.org/officeDocument/2006/relationships/hyperlink" Target="https://www.zeit.de/politik/deutschland/2022-06/olaf-scholz-sagt-ukraine-flugabwehrsystem-zu" TargetMode="External"/><Relationship Id="rId202" Type="http://schemas.openxmlformats.org/officeDocument/2006/relationships/hyperlink" Target="https://www.defense.gov/News/Releases/Release/Article/3007664/fact-sheet-on-us-security-assistance-for-ukraine-roll-up-as-of-april-21-2022/" TargetMode="External"/><Relationship Id="rId244" Type="http://schemas.openxmlformats.org/officeDocument/2006/relationships/hyperlink" Target="https://www.euractiv.com/section/politics/short_news/austria-more-than-doubles-financial-support-for-ukraine-with-citizen-donations/" TargetMode="External"/><Relationship Id="rId647" Type="http://schemas.openxmlformats.org/officeDocument/2006/relationships/hyperlink" Target="https://www.sulinformacao.pt/en/2022/03/ucrania-portugal-envia-medicamentos-material-medico-e-equipamento-de-emergencia-humanitaria/" TargetMode="External"/><Relationship Id="rId689" Type="http://schemas.openxmlformats.org/officeDocument/2006/relationships/hyperlink" Target="https://www.lefigaro.fr/international/direct-guerre-en-ukraine-situation-critique-a-marioupol-20220421" TargetMode="External"/><Relationship Id="rId854" Type="http://schemas.openxmlformats.org/officeDocument/2006/relationships/hyperlink" Target="https://inews.co.uk/news/brimstone-missile-what-uk-plans-long-range-weapons-ukraine-how-work-explained-1607595" TargetMode="External"/><Relationship Id="rId39" Type="http://schemas.openxmlformats.org/officeDocument/2006/relationships/hyperlink" Target="https://bbj.hu/politics/foreign-affairs/ukraine-crisis/ukraine-crisis-hungary-to-send-additional-medical-supplies-to-ukraine" TargetMode="External"/><Relationship Id="rId286" Type="http://schemas.openxmlformats.org/officeDocument/2006/relationships/hyperlink" Target="https://www.townsvillebulletin.com.au/news/national/france-to-increase-ukraine-financial-aid-by-300-mln/video/2374a117e7e4337e8832c3be6c744260" TargetMode="External"/><Relationship Id="rId451" Type="http://schemas.openxmlformats.org/officeDocument/2006/relationships/hyperlink" Target="https://news.defence.gov.au/international/working-together-ukraine" TargetMode="External"/><Relationship Id="rId493" Type="http://schemas.openxmlformats.org/officeDocument/2006/relationships/hyperlink" Target="https://www.stripes.com/theaters/us/2022-05-23/ukraine-russia-war-military-weapons-6104132.html" TargetMode="External"/><Relationship Id="rId507" Type="http://schemas.openxmlformats.org/officeDocument/2006/relationships/hyperlink" Target="https://www.thedefensepost.com/2022/04/19/us-arms-arrive-ukraine/" TargetMode="External"/><Relationship Id="rId549" Type="http://schemas.openxmlformats.org/officeDocument/2006/relationships/hyperlink" Target="https://euneighbourseast.eu/news-and-stories/latest-news/ukraine-eu-announces-new-aid-worth-e200-million-for-displaced-people/" TargetMode="External"/><Relationship Id="rId714" Type="http://schemas.openxmlformats.org/officeDocument/2006/relationships/hyperlink" Target="https://www.gov.uk/government/speeches/defence-secretary-statement-to-the-house-of-commons-on-ukraine-9-march-2022" TargetMode="External"/><Relationship Id="rId756" Type="http://schemas.openxmlformats.org/officeDocument/2006/relationships/hyperlink" Target="https://nltimes.nl/2022/03/31/netherlands-already-supplied-50-million-euros-worth-weapons-ukraine" TargetMode="External"/><Relationship Id="rId50" Type="http://schemas.openxmlformats.org/officeDocument/2006/relationships/hyperlink" Target="https://www.vlada.cz/cz/media-centrum/aktualne/vlada-kvuli-migracni-krizi-vyhlasila-od-patku-nouzovy-stav--schvalila-i-dalsi-pomoc-pro-ukrajinu-a-navrh-na-zvyseni-vydaju-na-obranu-194695/" TargetMode="External"/><Relationship Id="rId104" Type="http://schemas.openxmlformats.org/officeDocument/2006/relationships/hyperlink" Target="https://www.reuters.com/article/ukraine-crisis-czech-arms-idUSL2N2VG078" TargetMode="External"/><Relationship Id="rId146" Type="http://schemas.openxmlformats.org/officeDocument/2006/relationships/hyperlink" Target="https://www.thedefensepost.com/2022/03/10/uk-starstreak-missiles-ukraine/" TargetMode="External"/><Relationship Id="rId188" Type="http://schemas.openxmlformats.org/officeDocument/2006/relationships/hyperlink" Target="https://twitter.com/sanidadgob/status/1503783624969265161" TargetMode="External"/><Relationship Id="rId311" Type="http://schemas.openxmlformats.org/officeDocument/2006/relationships/hyperlink" Target="https://www.gov.uk/government/news/uk-sets-out-new-multi-million-dollar-economic-package-of-support-for-ukraine" TargetMode="External"/><Relationship Id="rId353" Type="http://schemas.openxmlformats.org/officeDocument/2006/relationships/hyperlink" Target="https://www.mfat.govt.nz/en/countries-and-regions/europe/ukraine/russian-invasion-of-ukraine/" TargetMode="External"/><Relationship Id="rId395" Type="http://schemas.openxmlformats.org/officeDocument/2006/relationships/hyperlink" Target="https://abouthungary.hu/news-in-brief/hungary-to-make-another-shipment-of-humanitarian-aid-to-ukraine?msclkid=ca53d542ab8b11ec95fbf81dabb45ae9" TargetMode="External"/><Relationship Id="rId409" Type="http://schemas.openxmlformats.org/officeDocument/2006/relationships/hyperlink" Target="https://www.ukrinform.net/rubric-ato/3488287-canada-to-provide-cad-9m-in-humanitarian-aid-to-ukraine.html" TargetMode="External"/><Relationship Id="rId560" Type="http://schemas.openxmlformats.org/officeDocument/2006/relationships/hyperlink" Target="https://ec.europa.eu/commission/presscorner/detail/en/IP_22_2382" TargetMode="External"/><Relationship Id="rId798" Type="http://schemas.openxmlformats.org/officeDocument/2006/relationships/hyperlink" Target="https://www.diplomatie.gouv.fr/en/country-files/ukraine/news/article/ukraine-france-mobilised-to-support-ukraine-through-medical-care-for-war" TargetMode="External"/><Relationship Id="rId92" Type="http://schemas.openxmlformats.org/officeDocument/2006/relationships/hyperlink" Target="https://www.theglobeandmail.com/canada/article-federal-budget-2022-ukraine-russia-1-billion-loan/" TargetMode="External"/><Relationship Id="rId213" Type="http://schemas.openxmlformats.org/officeDocument/2006/relationships/hyperlink" Target="https://appropriations.house.gov/sites/democrats.appropriations.house.gov/files/Ukraine%20Supplemental%20Summary.pdf" TargetMode="External"/><Relationship Id="rId420" Type="http://schemas.openxmlformats.org/officeDocument/2006/relationships/hyperlink" Target="https://japantoday.com/category/politics/japan-to-double-ukraine-aid-to-600-million" TargetMode="External"/><Relationship Id="rId616" Type="http://schemas.openxmlformats.org/officeDocument/2006/relationships/hyperlink" Target="https://www.rferl.org/a/czech-republic-poland-new-military-aid-ukraine/31873938.html" TargetMode="External"/><Relationship Id="rId658" Type="http://schemas.openxmlformats.org/officeDocument/2006/relationships/hyperlink" Target="https://www.npr.org/2022/05/03/1096398193/retired-colonel-on-the-rise-of-javelin-missiles-as-biden-seeks-to-aid-ukraine" TargetMode="External"/><Relationship Id="rId823" Type="http://schemas.openxmlformats.org/officeDocument/2006/relationships/hyperlink" Target="https://rmx.news/poland/polish-army-to-order-additional-piorun-anti-air-missiles-after-the-weapon-outperforms-on-ukrainian-battlefield/" TargetMode="External"/><Relationship Id="rId865" Type="http://schemas.openxmlformats.org/officeDocument/2006/relationships/hyperlink" Target="https://www.thequint.com/news/world/m142-himars-rocket-system-united-states-ukraine-russia" TargetMode="External"/><Relationship Id="rId255" Type="http://schemas.openxmlformats.org/officeDocument/2006/relationships/hyperlink" Target="https://www.euronews.com/next/2022/04/28/finland-to-sell-confiscated-bitcoin-worth-75-million-to-support-ukraine-s-war-effort" TargetMode="External"/><Relationship Id="rId297" Type="http://schemas.openxmlformats.org/officeDocument/2006/relationships/hyperlink" Target="https://interfax.com.ua/news/general/829945.html" TargetMode="External"/><Relationship Id="rId462" Type="http://schemas.openxmlformats.org/officeDocument/2006/relationships/hyperlink" Target="https://www.deutschland.de/en/news/ticker-solidarity-with-ukraine" TargetMode="External"/><Relationship Id="rId518" Type="http://schemas.openxmlformats.org/officeDocument/2006/relationships/hyperlink" Target="https://www.ukrinform.net/rubric-ato/3424220-japan-sends-military-protective-equipment-to-ukraine.html" TargetMode="External"/><Relationship Id="rId725" Type="http://schemas.openxmlformats.org/officeDocument/2006/relationships/hyperlink" Target="https://www.portugal.gov.pt/pt/gc23/comunicacao/noticia?i=portugal-doa-21-milhoes-de-euros-a-ucrania" TargetMode="External"/><Relationship Id="rId115" Type="http://schemas.openxmlformats.org/officeDocument/2006/relationships/hyperlink" Target="https://edition.cnn.com/europe/live-news/ukraine-russia-putin-news-03-13-22/h_025dcb1758c374a11f208c39d687f1b0" TargetMode="External"/><Relationship Id="rId157"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322" Type="http://schemas.openxmlformats.org/officeDocument/2006/relationships/hyperlink" Target="https://www.abc.net.au/news/rural/2022-03-22/cost-sending-70000-tonnes-of-coal-to-ukraine/100929070" TargetMode="External"/><Relationship Id="rId364" Type="http://schemas.openxmlformats.org/officeDocument/2006/relationships/hyperlink" Target="https://www.reuters.com/world/europe/ukraines-zelenskiy-says-tens-thousands-killed-mariupol-seeks-military-aid-skorea-2022-04-11/" TargetMode="External"/><Relationship Id="rId767" Type="http://schemas.openxmlformats.org/officeDocument/2006/relationships/hyperlink" Target="https://www.gov.ie/en/press-release/e6e61-ireland-donates-ambulances-and-other-life-saving-equipment-to-ukraine/" TargetMode="External"/><Relationship Id="rId61" Type="http://schemas.openxmlformats.org/officeDocument/2006/relationships/hyperlink" Target="https://www.gov.ie/en/press-release/2e59c-update-on-medical-humanitarian-support-to-ukraine/" TargetMode="External"/><Relationship Id="rId199" Type="http://schemas.openxmlformats.org/officeDocument/2006/relationships/hyperlink" Target="https://twitter.com/MZZRS/status/1511723242939105281" TargetMode="External"/><Relationship Id="rId571" Type="http://schemas.openxmlformats.org/officeDocument/2006/relationships/hyperlink" Target="https://www.bmi.gv.at/news.aspx?id=69543149763057644C4C633D" TargetMode="External"/><Relationship Id="rId627" Type="http://schemas.openxmlformats.org/officeDocument/2006/relationships/hyperlink" Target="https://pmtranscripts.pmc.gov.au/release/transcript-43868" TargetMode="External"/><Relationship Id="rId669" Type="http://schemas.openxmlformats.org/officeDocument/2006/relationships/hyperlink" Target="https://www.theportugalnews.com/news/2022-04-07/portugal-to-send-more-military-material-to-ukraine/66259" TargetMode="External"/><Relationship Id="rId834" Type="http://schemas.openxmlformats.org/officeDocument/2006/relationships/hyperlink" Target="https://radar.rp.pl/przemysl-obronny/art35751811-pioruny-drony-i-amunicja-polskie-uzbrojenie-w-drodze-na-ukraine" TargetMode="External"/><Relationship Id="rId876" Type="http://schemas.openxmlformats.org/officeDocument/2006/relationships/hyperlink" Target="https://appropriations.house.gov/sites/democrats.appropriations.house.gov/files/Additional%20Ukraine%20Suplemental%20Appropriations%20Act%20Summary.pdf" TargetMode="External"/><Relationship Id="rId19" Type="http://schemas.openxmlformats.org/officeDocument/2006/relationships/hyperlink" Target="https://eng.lsm.lv/article/society/defense/30-truckloads-of-equipment-heading-from-latvia-to-ukraine.a445455/" TargetMode="External"/><Relationship Id="rId224" Type="http://schemas.openxmlformats.org/officeDocument/2006/relationships/hyperlink" Target="https://mup.gov.hr/UserDocsImages/2022/4/112_8.pdf" TargetMode="External"/><Relationship Id="rId266" Type="http://schemas.openxmlformats.org/officeDocument/2006/relationships/hyperlink" Target="https://www.bmi.gv.at/news.aspx?id=69543149763057644C4C633D" TargetMode="External"/><Relationship Id="rId431" Type="http://schemas.openxmlformats.org/officeDocument/2006/relationships/hyperlink" Target="https://gouvernement.lu/en/actualites/toutes_actualites/communiques/2022/02-fevrier/28-bofferding-ucpm.html" TargetMode="External"/><Relationship Id="rId473" Type="http://schemas.openxmlformats.org/officeDocument/2006/relationships/hyperlink" Target="https://www.fanpage.it/politica/armi-allucraina-arriva-il-terzo-decreto-del-governo-lelenco-e-secretato-come-i-precedenti/" TargetMode="External"/><Relationship Id="rId529" Type="http://schemas.openxmlformats.org/officeDocument/2006/relationships/hyperlink" Target="https://www.armyrecognition.com/defense_news_march_2022_global_security_army_industry/sweden_to_provide_another_batch_of_5000_at4_anti-tank_weapons_to_ukraine.html" TargetMode="External"/><Relationship Id="rId680" Type="http://schemas.openxmlformats.org/officeDocument/2006/relationships/hyperlink" Target="https://pmtranscripts.pmc.gov.au/release/transcript-43831" TargetMode="External"/><Relationship Id="rId736" Type="http://schemas.openxmlformats.org/officeDocument/2006/relationships/hyperlink" Target="https://intermin.fi/en/ukraine/civilian-assistance-to-ukraine" TargetMode="External"/><Relationship Id="rId30" Type="http://schemas.openxmlformats.org/officeDocument/2006/relationships/hyperlink" Target="https://www.termometropolitico.it/1600183_guerra-russia-ucraina-litalia-invia-armi-e-mezzi-i-dettagli-delloperazione.html" TargetMode="External"/><Relationship Id="rId126" Type="http://schemas.openxmlformats.org/officeDocument/2006/relationships/hyperlink" Target="https://www.whitehouse.gov/briefing-room/statements-releases/2022/03/10/vice-president-kamala-harris-announces-additional-u-s-funding-to-respond-to-humanitarian-needs-in-ukraine-and-eastern-europe/" TargetMode="External"/><Relationship Id="rId168" Type="http://schemas.openxmlformats.org/officeDocument/2006/relationships/hyperlink" Target="https://edition.cnn.com/2022/04/09/europe/ukraine-uk-boris-johnson-intl-gbr/index.html" TargetMode="External"/><Relationship Id="rId333" Type="http://schemas.openxmlformats.org/officeDocument/2006/relationships/hyperlink" Target="https://cde.news/belgium-explores-new-avenues-of-assistance-for-ukraine/" TargetMode="External"/><Relationship Id="rId540" Type="http://schemas.openxmlformats.org/officeDocument/2006/relationships/hyperlink" Target="https://mil.in.ua/en/news/ukraine-has-received-two-temporary-bridges-for-civilian-transport-from-the-czech-republic/" TargetMode="External"/><Relationship Id="rId778" Type="http://schemas.openxmlformats.org/officeDocument/2006/relationships/hyperlink" Target="https://echo24.cz/a/SrjYb/cesko-poslalo-na-ukrajinu-desitky-tanku-t-72-a-bvp" TargetMode="External"/><Relationship Id="rId72" Type="http://schemas.openxmlformats.org/officeDocument/2006/relationships/hyperlink" Target="https://lrv.lt/en/news/lithuania-allocates-1-8-mln-euro-worth-aid-to-ukraine?msclkid=2f9d4bd4b05c11ecbef1f3a571834d09" TargetMode="External"/><Relationship Id="rId375" Type="http://schemas.openxmlformats.org/officeDocument/2006/relationships/hyperlink" Target="https://www.reuters.com/world/new-zealand-provide-ukraine-with-non-lethal-military-assistance-2022-03-21/" TargetMode="External"/><Relationship Id="rId582" Type="http://schemas.openxmlformats.org/officeDocument/2006/relationships/hyperlink" Target="https://en.kriseinformation.dk/denmarks-reactions/denmarks-contributions" TargetMode="External"/><Relationship Id="rId638" Type="http://schemas.openxmlformats.org/officeDocument/2006/relationships/hyperlink" Target="https://www.theportugalnews.com/news/2022-04-07/portugal-to-send-more-military-material-to-ukraine/66259" TargetMode="External"/><Relationship Id="rId803" Type="http://schemas.openxmlformats.org/officeDocument/2006/relationships/hyperlink" Target="https://plus.tagesspiegel.de/politik/raketen-schusswaffen-helme-welche-lander-schicken-der-ukraine-militarische-ausrustung-437908.html" TargetMode="External"/><Relationship Id="rId845" Type="http://schemas.openxmlformats.org/officeDocument/2006/relationships/hyperlink" Target="https://www.politico.com/news/2022/03/22/ukraine-weapons-military-aid-00019104" TargetMode="External"/><Relationship Id="rId3" Type="http://schemas.openxmlformats.org/officeDocument/2006/relationships/hyperlink" Target="https://foreignandeu.gov.mt/en/Government/Press%20Releases/Pages/The-Government-of-Malta-is-committed-to-providing-official-aid-to-address-the-humanitarian-needs-of-the-people-of-Ukraine.aspx" TargetMode="External"/><Relationship Id="rId235" Type="http://schemas.openxmlformats.org/officeDocument/2006/relationships/hyperlink" Target="https://www.worldbank.org/en/news/press-release/2022/03/14/world-bank-announces-additional-200-million-in-financing-for-ukraine" TargetMode="External"/><Relationship Id="rId277" Type="http://schemas.openxmlformats.org/officeDocument/2006/relationships/hyperlink" Target="https://ua.interfax.com.ua/news/economic/796996.html" TargetMode="External"/><Relationship Id="rId400" Type="http://schemas.openxmlformats.org/officeDocument/2006/relationships/hyperlink" Target="https://www.peterdutton.com.au/joint-media-release-australia-to-provide-additional-support-to-ukraine/" TargetMode="External"/><Relationship Id="rId442" Type="http://schemas.openxmlformats.org/officeDocument/2006/relationships/hyperlink" Target="https://www.government.se/articles/2022/03/sweden-planning-additional-support-to-ukraine-through-world-bank/" TargetMode="External"/><Relationship Id="rId484" Type="http://schemas.openxmlformats.org/officeDocument/2006/relationships/hyperlink" Target="https://www.defense.gov/News/News-Stories/Article/Article/3038121/additional-100-million-in-howitzers-tactical-vehicles-radars-headed-to-ukraine/source/additional-100-million-in-howitzers-tactical-vehicles-radars-headed-to-ukraine/" TargetMode="External"/><Relationship Id="rId705" Type="http://schemas.openxmlformats.org/officeDocument/2006/relationships/hyperlink" Target="https://news.err.ee/1608555886/estonia-s-220-million-military-aid-to-ukraine-substantially-diversified" TargetMode="External"/><Relationship Id="rId887" Type="http://schemas.openxmlformats.org/officeDocument/2006/relationships/hyperlink" Target="https://www.bbc.com/news/world-europe-61482305" TargetMode="External"/><Relationship Id="rId137" Type="http://schemas.openxmlformats.org/officeDocument/2006/relationships/hyperlink" Target="https://www.reuters.com/world/europe/romania-send-fuel-ammunition-ukraine-2022-02-27/" TargetMode="External"/><Relationship Id="rId302" Type="http://schemas.openxmlformats.org/officeDocument/2006/relationships/hyperlink" Target="https://www.youtube.com/watch?v=vzENx6dTpqY" TargetMode="External"/><Relationship Id="rId344" Type="http://schemas.openxmlformats.org/officeDocument/2006/relationships/hyperlink" Target="https://www.regjeringen.no/en/aktuelt/norway-provides-additional-weapons-to-ukraine/id2906254/" TargetMode="External"/><Relationship Id="rId691" Type="http://schemas.openxmlformats.org/officeDocument/2006/relationships/hyperlink" Target="https://www.19fortyfive.com/2022/05/putin-is-mad-u-s-begins-delivering-new-phoenix-ghost-drones-to-ukraine/" TargetMode="External"/><Relationship Id="rId747" Type="http://schemas.openxmlformats.org/officeDocument/2006/relationships/hyperlink" Target="https://www.mfat.govt.nz/en/countries-and-regions/europe/ukraine/russian-invasion-of-ukraine/" TargetMode="External"/><Relationship Id="rId789" Type="http://schemas.openxmlformats.org/officeDocument/2006/relationships/hyperlink" Target="https://pm.gc.ca/en/news/backgrounders/2022/06/28/additional-canadian-support-ukraine-announced-2022-g7-summit" TargetMode="External"/><Relationship Id="rId41" Type="http://schemas.openxmlformats.org/officeDocument/2006/relationships/hyperlink" Target="https://ba.n1info.com/english/news/croatia-sends-emergency-aid-worth-e1-2m-to-ukraine-in-wake-of-russias-invasion/" TargetMode="External"/><Relationship Id="rId83" Type="http://schemas.openxmlformats.org/officeDocument/2006/relationships/hyperlink" Target="https://www.txtreport.com/news/2022-03-10-canada-will-provide-%24-50-million-in-military-assistance-to-ukraine.S1BRwmvb5.html" TargetMode="External"/><Relationship Id="rId179" Type="http://schemas.openxmlformats.org/officeDocument/2006/relationships/hyperlink" Target="https://www.gov.si/en/news/2022-02-26-humanitarian-contribution-of-the-republic-of-slovenia-to-the-people-of-ukraine/" TargetMode="External"/><Relationship Id="rId386" Type="http://schemas.openxmlformats.org/officeDocument/2006/relationships/hyperlink" Target="https://www.gov.uk/government/publications/world-bank-spring-meetings-2022-uk-governors-statement/world-bank-spring-meetings-2022-uk-governors-statement" TargetMode="External"/><Relationship Id="rId551" Type="http://schemas.openxmlformats.org/officeDocument/2006/relationships/hyperlink" Target="https://www.europarl.europa.eu/RegData/etudes/ATAG/2022/729301/EPRS_ATA(2022)729301_EN.pdf" TargetMode="External"/><Relationship Id="rId593"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607" Type="http://schemas.openxmlformats.org/officeDocument/2006/relationships/hyperlink" Target="https://www.bta.bg/en/news/bulgaria/264039-ukrainian-experts-explore-opportunities-for-military-equipment-repairs-in-bulgar" TargetMode="External"/><Relationship Id="rId649" Type="http://schemas.openxmlformats.org/officeDocument/2006/relationships/hyperlink" Target="https://www.romania-insider.com/romania-donates-ambulances-ukraine-2022" TargetMode="External"/><Relationship Id="rId814" Type="http://schemas.openxmlformats.org/officeDocument/2006/relationships/hyperlink" Target="https://www.bundesregierung.de/breg-de/themen/krieg-in-der-ukraine/lieferungen-ukraine-2054514" TargetMode="External"/><Relationship Id="rId856" Type="http://schemas.openxmlformats.org/officeDocument/2006/relationships/hyperlink" Target="https://www.gov.uk/government/news/uk-to-gift-multiple-launch-rocket-systems-to-ukraine" TargetMode="External"/><Relationship Id="rId190" Type="http://schemas.openxmlformats.org/officeDocument/2006/relationships/hyperlink" Target="https://ua.interfax.com.ua/news/general/825450.html" TargetMode="External"/><Relationship Id="rId204" Type="http://schemas.openxmlformats.org/officeDocument/2006/relationships/hyperlink" Target="https://www.defense.gov/News/Releases/Release/Article/3007664/fact-sheet-on-us-security-assistance-for-ukraine-roll-up-as-of-april-21-2022/" TargetMode="External"/><Relationship Id="rId246" Type="http://schemas.openxmlformats.org/officeDocument/2006/relationships/hyperlink" Target="https://www.canada.ca/en/department-national-defence/news/2022/04/canada-announces-artillery-and-other-additional-military-aid-for-ukraine.html" TargetMode="External"/><Relationship Id="rId288" Type="http://schemas.openxmlformats.org/officeDocument/2006/relationships/hyperlink" Target="https://www.youtube.com/watch?v=xsRCOOin-0U" TargetMode="External"/><Relationship Id="rId411" Type="http://schemas.openxmlformats.org/officeDocument/2006/relationships/hyperlink" Target="https://globalnews.ca/news/8788360/ukraine-war-canada-armoured-vehicles/" TargetMode="External"/><Relationship Id="rId453" Type="http://schemas.openxmlformats.org/officeDocument/2006/relationships/hyperlink" Target="https://techartica.com/this-is-the-first-view-of-the-mistral-antiaircraft-system-in-ukraine-it-shows-how-civilian-cars-are-used-at-war-front/" TargetMode="External"/><Relationship Id="rId509" Type="http://schemas.openxmlformats.org/officeDocument/2006/relationships/hyperlink" Target="https://eurasiantimes.com/from-britain-with-love-uks-new-game-changing-missiles-to-ukraine-has-potential-to-turn-tables-on-belligerent-russia/" TargetMode="External"/><Relationship Id="rId660" Type="http://schemas.openxmlformats.org/officeDocument/2006/relationships/hyperlink" Target="https://www.thedefensepost.com/2022/04/19/us-arms-arrive-ukraine/" TargetMode="External"/><Relationship Id="rId106" Type="http://schemas.openxmlformats.org/officeDocument/2006/relationships/hyperlink" Target="https://www.vlada.cz/cz/media-centrum/aktualne/informace-v-souvislosti-s-invazi-ruska-na-ukrajinu-194507/" TargetMode="External"/><Relationship Id="rId313" Type="http://schemas.openxmlformats.org/officeDocument/2006/relationships/hyperlink" Target="https://www.gov.uk/government/news/uk-provides-further-humanitarian-aid-focused-on-most-vulnerable-in-ukraine" TargetMode="External"/><Relationship Id="rId495" Type="http://schemas.openxmlformats.org/officeDocument/2006/relationships/hyperlink" Target="https://www.bvinet.com/2022/05/21/ukraine-will-receive-250-million-euros-of-financial-assistance-from-portugal/" TargetMode="External"/><Relationship Id="rId716" Type="http://schemas.openxmlformats.org/officeDocument/2006/relationships/hyperlink" Target="https://www.gov.uk/government/speeches/pm-opening-remarks-at-press-conference-with-german-chancellor-olaf-scholz-8-april-2022" TargetMode="External"/><Relationship Id="rId758" Type="http://schemas.openxmlformats.org/officeDocument/2006/relationships/hyperlink" Target="https://www.government.nl/topics/russia-and-ukraine/news/2022/02/18/the-netherlands-intends-to-supply-military-goods-to-ukraine" TargetMode="External"/><Relationship Id="rId10" Type="http://schemas.openxmlformats.org/officeDocument/2006/relationships/hyperlink" Target="https://um.dk/danida/lande-og-regioner/ukraine" TargetMode="External"/><Relationship Id="rId52" Type="http://schemas.openxmlformats.org/officeDocument/2006/relationships/hyperlink" Target="https://www.vlada.cz/cz/media-centrum/aktualne/informace-v-souvislosti-s-invazi-ruska-na-ukrajinu-194507/" TargetMode="External"/><Relationship Id="rId94" Type="http://schemas.openxmlformats.org/officeDocument/2006/relationships/hyperlink" Target="https://www.canada.ca/en/department-national-defence/news/2022/03/defence-minister-anand-announces-additional-military-support-to-ukraine.html" TargetMode="External"/><Relationship Id="rId148" Type="http://schemas.openxmlformats.org/officeDocument/2006/relationships/hyperlink" Target="https://www.whitehouse.gov/briefing-room/statements-releases/2022/03/24/fact-sheet-the-biden-administration-announces-new-humanitarian-development-and-democracy-assistance-to-ukraine-and-the-surrounding-region/" TargetMode="External"/><Relationship Id="rId355" Type="http://schemas.openxmlformats.org/officeDocument/2006/relationships/hyperlink" Target="https://www.reuters.com/world/new-zealand-provide-ukraine-with-non-lethal-military-assistance-2022-03-21/" TargetMode="External"/><Relationship Id="rId397" Type="http://schemas.openxmlformats.org/officeDocument/2006/relationships/hyperlink" Target="https://www.dw.com/bg/%D0%BF%D0%B0%D1%80%D0%BB%D0%B0%D0%BC%D0%B5%D0%BD%D1%82%D1%8A%D1%82-%D1%80%D0%B5%D1%88%D0%B8-%D0%B1%D1%8A%D0%BB%D0%B3%D0%B0%D1%80%D0%B8%D1%8F-%D1%89%D0%B5-%D0%BE%D0%BA%D0%B0%D0%B6%D0%B5-%D0%B2%D0%BE%D0%B5%D0%BD%D0%BD%D0%BE-%D1%82%D0%B5%D1%85%D0%BD%D0%B8%D1%87%D0%B5%D1%81%D0%BA%D0%B0-%D0%BF%D0%BE%D0%BC%D0%BE%D1%89-%D0%BD%D0%B0-%D1%83%D0%BA%D1%80%D0%B0%D0%B9%D0%BD%D0%B0/a-61683857" TargetMode="External"/><Relationship Id="rId520" Type="http://schemas.openxmlformats.org/officeDocument/2006/relationships/hyperlink" Target="https://spectator.sme.sk/c/22842829/slovakia-will-send-mine-clearance-systems-and-healthcare-material-to-ukraine.html" TargetMode="External"/><Relationship Id="rId562" Type="http://schemas.openxmlformats.org/officeDocument/2006/relationships/hyperlink" Target="https://ec.europa.eu/info/strategy/priorities-2019-2024/stronger-europe-world/eu-solidarity-ukraine/eu-assistance-ukraine_en?msclkid=23e9b3c1d14011ecaaeca792ec66a4ed" TargetMode="External"/><Relationship Id="rId618" Type="http://schemas.openxmlformats.org/officeDocument/2006/relationships/hyperlink" Target="https://www.rferl.org/a/czech-republic-poland-new-military-aid-ukraine/31873938.html" TargetMode="External"/><Relationship Id="rId825" Type="http://schemas.openxmlformats.org/officeDocument/2006/relationships/hyperlink" Target="https://kyivindependent.com/uncategorized/poland-has-provided-ukraine-with-weapons-worth-1-6-billion/" TargetMode="External"/><Relationship Id="rId215" Type="http://schemas.openxmlformats.org/officeDocument/2006/relationships/hyperlink" Target="https://www.usaid.gov/news-information/press-releases/apr-20-2022-united-states-contributes-500-million-world-bank-multi-donor-trust" TargetMode="External"/><Relationship Id="rId257" Type="http://schemas.openxmlformats.org/officeDocument/2006/relationships/hyperlink" Target="https://www.defmin.fi/en/topical/press_releases_and_news/finland_sends_more_defence_materiel_assistance_to_ukraine.12692.news" TargetMode="External"/><Relationship Id="rId422" Type="http://schemas.openxmlformats.org/officeDocument/2006/relationships/hyperlink" Target="https://www3.nhk.or.jp/nhkworld/en/news/20220519_02/" TargetMode="External"/><Relationship Id="rId464" Type="http://schemas.openxmlformats.org/officeDocument/2006/relationships/hyperlink" Target="https://www.bloomberg.com/news/articles/2022-05-19/germany-to-contribute-1-billion-euros-of-grants-to-ukraine" TargetMode="External"/><Relationship Id="rId867" Type="http://schemas.openxmlformats.org/officeDocument/2006/relationships/hyperlink" Target="https://www.defense.gov/News/Releases/Release/Article/3066864/fact-sheet-on-us-security-assistance-to-ukraine/" TargetMode="External"/><Relationship Id="rId299" Type="http://schemas.openxmlformats.org/officeDocument/2006/relationships/hyperlink" Target="https://tvn24.pl/polska/ukraina-pomoc-humanitarna-z-polski-dotarla-na-ukraine-5660490" TargetMode="External"/><Relationship Id="rId727" Type="http://schemas.openxmlformats.org/officeDocument/2006/relationships/hyperlink" Target="https://www.kmu.gov.ua/en/news/portugaliya-nadast-ukrayini-do-250-mln-yevro-finansovoyi-pidtrimki-denis-shmigal" TargetMode="External"/><Relationship Id="rId63" Type="http://schemas.openxmlformats.org/officeDocument/2006/relationships/hyperlink" Target="https://www.wsj.com/livecoverage/russia-ukraine-latest-news-2022-03-04/card/japan-will-send-the-ukrainian-military-basic-supplies-VOtpnPjTX2ooK8dqQ8o8?msclkid=8d9aa20aaf4811eca75cd52c21f47675" TargetMode="External"/><Relationship Id="rId159" Type="http://schemas.openxmlformats.org/officeDocument/2006/relationships/hyperlink" Target="https://www.reuters.com/world/europe/sweden-send-military-aid-ukraine-pm-andersson-2022-02-27/" TargetMode="External"/><Relationship Id="rId366" Type="http://schemas.openxmlformats.org/officeDocument/2006/relationships/hyperlink" Target="https://mil.in.ua/en/news/south-korea-will-be-providing-ukraine-with-additional-aid-worth-1-6-million/" TargetMode="External"/><Relationship Id="rId573" Type="http://schemas.openxmlformats.org/officeDocument/2006/relationships/hyperlink" Target="https://www.bmi.gv.at/news.aspx?id=69543149763057644C4C633D" TargetMode="External"/><Relationship Id="rId780" Type="http://schemas.openxmlformats.org/officeDocument/2006/relationships/hyperlink" Target="https://english.radio.cz/german-defence-ministry-provides-further-details-tank-donation-czechia-8751010" TargetMode="External"/><Relationship Id="rId226" Type="http://schemas.openxmlformats.org/officeDocument/2006/relationships/hyperlink" Targe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TargetMode="External"/><Relationship Id="rId433" Type="http://schemas.openxmlformats.org/officeDocument/2006/relationships/hyperlink" Target="https://www.youtube.com/watch?v=A1nTsblXabc" TargetMode="External"/><Relationship Id="rId878" Type="http://schemas.openxmlformats.org/officeDocument/2006/relationships/hyperlink" Target="https://www.cnbc.com/2022/06/15/biden-to-send-another-1-billion-in-military-aid-to-ukraine-.html" TargetMode="External"/><Relationship Id="rId640" Type="http://schemas.openxmlformats.org/officeDocument/2006/relationships/hyperlink" Target="https://www.portugal.gov.pt/en/gc22/communication/announcement?i=assistance-to-ukraine" TargetMode="External"/><Relationship Id="rId738" Type="http://schemas.openxmlformats.org/officeDocument/2006/relationships/hyperlink" Target="https://intermin.fi/en/ukraine/civilian-assistance-to-ukraine" TargetMode="External"/><Relationship Id="rId74" Type="http://schemas.openxmlformats.org/officeDocument/2006/relationships/hyperlink" Target="https://www.independent.com.mt/articles/2022-02-25/local-news/Malta-to-send-humanitarian-aid-to-Ukrainian-people-6736240942" TargetMode="External"/><Relationship Id="rId377" Type="http://schemas.openxmlformats.org/officeDocument/2006/relationships/hyperlink" Target="https://www.cbc.ca/news/politics/ukraine-m777-howitzer-russia-heavy-artillery-1.6427762" TargetMode="External"/><Relationship Id="rId500" Type="http://schemas.openxmlformats.org/officeDocument/2006/relationships/hyperlink" Target="https://www.aa.com.tr/en/americas/us-says-vast-majority-of-howitzers-has-arrived-in-ukraine/2581253" TargetMode="External"/><Relationship Id="rId584" Type="http://schemas.openxmlformats.org/officeDocument/2006/relationships/hyperlink" Target="https://www.oryxspioenkop.com/2022/05/guns-n-greece-hellenic-support-to.html" TargetMode="External"/><Relationship Id="rId805" Type="http://schemas.openxmlformats.org/officeDocument/2006/relationships/hyperlink" Target="https://www.bundesregierung.de/breg-de/themen/krieg-in-der-ukraine/lieferungen-ukraine-2054514" TargetMode="External"/><Relationship Id="rId5" Type="http://schemas.openxmlformats.org/officeDocument/2006/relationships/hyperlink" Target="https://www.delfi.lt/en/politics/kasciunas-lithuania-provides-ukraine-with-military-aid-worth-eur-29-mln.d?id=89718941" TargetMode="External"/><Relationship Id="rId237" Type="http://schemas.openxmlformats.org/officeDocument/2006/relationships/hyperlink" Target="https://www.globalcitizen.org/en/content/stand-up-for-ukraine-impact-report/" TargetMode="External"/><Relationship Id="rId791" Type="http://schemas.openxmlformats.org/officeDocument/2006/relationships/hyperlink" Target="https://pm.gc.ca/en/news/backgrounders/2022/06/28/additional-canadian-support-ukraine-announced-2022-g7-summit" TargetMode="External"/><Relationship Id="rId889" Type="http://schemas.openxmlformats.org/officeDocument/2006/relationships/hyperlink" Target="https://www.defense.gov/News/Releases/Release/Article/3081993/820-million-in-additional-security-assistance-for-ukraine/" TargetMode="External"/><Relationship Id="rId444" Type="http://schemas.openxmlformats.org/officeDocument/2006/relationships/hyperlink" Target="https://en.interfax.com.ua/news/general/829822.html" TargetMode="External"/><Relationship Id="rId651" Type="http://schemas.openxmlformats.org/officeDocument/2006/relationships/hyperlink" Target="https://english.radio.cz/czech-republic-sends-further-humanitarian-aid-ukraine-8752601" TargetMode="External"/><Relationship Id="rId749" Type="http://schemas.openxmlformats.org/officeDocument/2006/relationships/hyperlink" Target="https://www.regjeringen.no/en/aktuelt/norge-og-storbritannia-gir-langtrekkende-rakettartilleri-til-ukraina/id2921395/" TargetMode="External"/><Relationship Id="rId290" Type="http://schemas.openxmlformats.org/officeDocument/2006/relationships/hyperlink" Target="https://interfax.com.ua/news/general/829945.html" TargetMode="External"/><Relationship Id="rId304" Type="http://schemas.openxmlformats.org/officeDocument/2006/relationships/hyperlink" Target="https://english.sta.si/3031756/slovenia-to-send-additional-material-aid-to-ukraine" TargetMode="External"/><Relationship Id="rId388" Type="http://schemas.openxmlformats.org/officeDocument/2006/relationships/hyperlink" Target="https://appropriations.house.gov/sites/democrats.appropriations.house.gov/files/Additional%20Ukraine%20Suplemental%20Appropriations%20Act%20Summary.pdf" TargetMode="External"/><Relationship Id="rId511" Type="http://schemas.openxmlformats.org/officeDocument/2006/relationships/hyperlink" Target="https://nationalinterest.org/blog/buzz/us-phoenix-ghost-drones-are-helping-ukraine-take-fight-russia-202249" TargetMode="External"/><Relationship Id="rId609" Type="http://schemas.openxmlformats.org/officeDocument/2006/relationships/hyperlink" Target="https://in-cyprus.philenews.com/cyprus-third-humanitarian-aid-package-to-war-torn-ukraine-ready-to-be-shipped-photos/" TargetMode="External"/><Relationship Id="rId85" Type="http://schemas.openxmlformats.org/officeDocument/2006/relationships/hyperlink" Target="https://www.globalcitizen.org/en/content/stand-up-for-ukraine-impact-report/" TargetMode="External"/><Relationship Id="rId150" Type="http://schemas.openxmlformats.org/officeDocument/2006/relationships/hyperlink" Target="https://www.barrons.com/news/spain-to-send-more-weapons-to-ukraine-01647003007" TargetMode="External"/><Relationship Id="rId595" Type="http://schemas.openxmlformats.org/officeDocument/2006/relationships/hyperlink" Target="https://elpais.com/espana/2022-06-05/espana-dispuesta-a-entregar-a-ucrania-misiles-antiaereos-y-carros-de-combate-leopard.html" TargetMode="External"/><Relationship Id="rId816" Type="http://schemas.openxmlformats.org/officeDocument/2006/relationships/hyperlink" Target="https://www.cbc.ca/news/politics/anand-biggest-military-donation-ukraine-1.6463915" TargetMode="External"/><Relationship Id="rId248" Type="http://schemas.openxmlformats.org/officeDocument/2006/relationships/hyperlink" Target="https://www.forbes.com/sites/sebastienroblin/2022/04/21/the-dutch-are-sending-huge-german-armored-howitzers-to-ukraine/?sh=6c70196f9380" TargetMode="External"/><Relationship Id="rId455" Type="http://schemas.openxmlformats.org/officeDocument/2006/relationships/hyperlink" Target="https://www.reuters.com/world/europe/ukraine-receives-harpoon-missiles-howitzers-says-defence-minister-2022-05-28/" TargetMode="External"/><Relationship Id="rId662" Type="http://schemas.openxmlformats.org/officeDocument/2006/relationships/hyperlink" Target="https://www-regjeringen-no.translate.goog/no/aktuelt/norge-har-donert-artilleriskyts-til-ukraina/id2917760/?_x_tr_sl=auto&amp;_x_tr_tl=auto&amp;_x_tr_hl=de" TargetMode="External"/><Relationship Id="rId12" Type="http://schemas.openxmlformats.org/officeDocument/2006/relationships/hyperlink" Target="https://vlada.gov.hr/news/croatia-sending-emergency-aid-to-ukraine/33960" TargetMode="External"/><Relationship Id="rId108" Type="http://schemas.openxmlformats.org/officeDocument/2006/relationships/hyperlink" Target="https://www.vlada.cz/cz/media-centrum/aktualne/informace-v-souvislosti-s-invazi-ruska-na-ukrajinu-194507/" TargetMode="External"/><Relationship Id="rId315" Type="http://schemas.openxmlformats.org/officeDocument/2006/relationships/hyperlink" Target="https://appropriations.house.gov/sites/democrats.appropriations.house.gov/files/Ukraine%20Supplemental%20Summary.pdf" TargetMode="External"/><Relationship Id="rId522" Type="http://schemas.openxmlformats.org/officeDocument/2006/relationships/hyperlink" Target="https://www.france24.com/en/live-news/20220601-arms-for-ukraine-who-has-sent-what" TargetMode="External"/><Relationship Id="rId96" Type="http://schemas.openxmlformats.org/officeDocument/2006/relationships/hyperlink" Target="https://www.canada.ca/en/department-national-defence/news/2022/03/defence-minister-anand-announces-additional-military-support-to-ukraine.html?msclkid=50865665ab9011ecbb2d77d3ecd6e3a6" TargetMode="External"/><Relationship Id="rId161" Type="http://schemas.openxmlformats.org/officeDocument/2006/relationships/hyperlink" Target="https://www.aa.com.tr/en/europe/spain-to-send-weapons-to-ukrainian-forces/2520902" TargetMode="External"/><Relationship Id="rId399" Type="http://schemas.openxmlformats.org/officeDocument/2006/relationships/hyperlink" Target="https://www.legion.org/news/255649/more-half-90-us-howitzers-bound-ukraine-now-delivered" TargetMode="External"/><Relationship Id="rId827" Type="http://schemas.openxmlformats.org/officeDocument/2006/relationships/hyperlink" Target="https://kyivindependent.com/uncategorized/poland-has-provided-ukraine-with-weapons-worth-1-6-billion/" TargetMode="External"/><Relationship Id="rId259" Type="http://schemas.openxmlformats.org/officeDocument/2006/relationships/hyperlink" Target="https://suomenkuvalehti.fi/paajutut/viela-vuoden-alussa-aseapu-ukrainalle-oli-tabu-sitten-lannen-mitta-tayttyi-kaannamme-maat-ja-taivaat-venajan-lyomiseksi/?shared=1219900-dfafb371-500" TargetMode="External"/><Relationship Id="rId466" Type="http://schemas.openxmlformats.org/officeDocument/2006/relationships/hyperlink" Target="https://www.kfw.de/About-KfW/Newsroom/Latest-News/Pressemitteilungen-Details_702848.html" TargetMode="External"/><Relationship Id="rId673"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80" Type="http://schemas.openxmlformats.org/officeDocument/2006/relationships/hyperlink" Target="https://appropriations.house.gov/sites/democrats.appropriations.house.gov/files/Additional%20Ukraine%20Suplemental%20Appropriations%20Act%20Summary.pdf" TargetMode="External"/><Relationship Id="rId23" Type="http://schemas.openxmlformats.org/officeDocument/2006/relationships/hyperlink" Target="https://www.gov.ie/en/press-release/b80b7-government-ministers-announce-irish-support-for-ukrainian-health-service/?msclkid=07ab0901b05a11ec8239ca04bfcdbb9d" TargetMode="External"/><Relationship Id="rId119" Type="http://schemas.openxmlformats.org/officeDocument/2006/relationships/hyperlink" Target="https://www.czdefence.com/article/czech-republic-donates-artillery-ammunition-worth-czk-366-million-to-ukraine" TargetMode="External"/><Relationship Id="rId326" Type="http://schemas.openxmlformats.org/officeDocument/2006/relationships/hyperlink" Target="https://www.regjeringen.no/en/topics/foreign-affairs/humanitarian-efforts/neighbour_support/id2908141/" TargetMode="External"/><Relationship Id="rId533" Type="http://schemas.openxmlformats.org/officeDocument/2006/relationships/hyperlink" Target="https://www.reuters.com/world/europe/slovakia-says-it-delivered-air-defence-anti-tank-rockets-ukraine-2022-02-28/" TargetMode="External"/><Relationship Id="rId740" Type="http://schemas.openxmlformats.org/officeDocument/2006/relationships/hyperlink" Target="https://www.swissinfo.ch/eng/switzerland-approves-chf80-million-in-emergency-aid-for-ukraine/47423096?utm_campaign=teaser-in-article&amp;utm_source=swissinfoch&amp;utm_content=o&amp;utm_medium=display" TargetMode="External"/><Relationship Id="rId838" Type="http://schemas.openxmlformats.org/officeDocument/2006/relationships/hyperlink" Target="https://abcnews.go.com/Politics/us-sends-patriot-battery-slovakia-ukraine-300-anti/story?id=83965999" TargetMode="External"/><Relationship Id="rId172" Type="http://schemas.openxmlformats.org/officeDocument/2006/relationships/hyperlink" Target="https://twitter.com/Defensagob/status/1512424894881017857" TargetMode="External"/><Relationship Id="rId477" Type="http://schemas.openxmlformats.org/officeDocument/2006/relationships/hyperlink" Target="https://tfiglobalnews.com/2022/03/21/canada-wanted-to-supply-weapons-to-ukraine-turns-out-it-didnt-have-any/" TargetMode="External"/><Relationship Id="rId600" Type="http://schemas.openxmlformats.org/officeDocument/2006/relationships/hyperlink" Target="https://www.brusselstimes.com/208911/belgium-to-send-e3-4-million-medical-supplies-to-ukraine" TargetMode="External"/><Relationship Id="rId684" Type="http://schemas.openxmlformats.org/officeDocument/2006/relationships/hyperlink" Target="https://czechdaily.cz/the-government-will-send-to-ukraine-czk-300-million-in-aid/" TargetMode="External"/><Relationship Id="rId337" Type="http://schemas.openxmlformats.org/officeDocument/2006/relationships/hyperlink" Target="https://www.admin.ch/gov/en/start/documentation/media-releases.msg-id-87488.html" TargetMode="External"/><Relationship Id="rId891" Type="http://schemas.openxmlformats.org/officeDocument/2006/relationships/hyperlink" Target="https://twitter.com/ukraine_world/status/1538181895892176897" TargetMode="External"/><Relationship Id="rId34" Type="http://schemas.openxmlformats.org/officeDocument/2006/relationships/hyperlink" Target="https://www.vindobona.org/article/attack-on-ukraine-austria-extends-aid-from-foreign-disaster-fund-to-a-total-of-17-5-million-euros" TargetMode="External"/><Relationship Id="rId544" Type="http://schemas.openxmlformats.org/officeDocument/2006/relationships/hyperlink" Target="https://www.bbc.com/news/world-europe-61482305" TargetMode="External"/><Relationship Id="rId751" Type="http://schemas.openxmlformats.org/officeDocument/2006/relationships/hyperlink" Target="https://www.regjeringen.no/en/topics/foreign-affairs/humanitarian-efforts/neighbour_support/id2908141/" TargetMode="External"/><Relationship Id="rId849" Type="http://schemas.openxmlformats.org/officeDocument/2006/relationships/hyperlink" Target="https://focustaiwan.tw/politics/202204220023" TargetMode="External"/><Relationship Id="rId183" Type="http://schemas.openxmlformats.org/officeDocument/2006/relationships/hyperlink" Target="https://www.gov.si/en/news/2022-03-01-minister-logar-announces-eur-1-1-million-in-humanitarian-aid-for-ukraine/" TargetMode="External"/><Relationship Id="rId390" Type="http://schemas.openxmlformats.org/officeDocument/2006/relationships/hyperlink" Target="https://news.err.ee/1608589426/estonia-s-military-aid-to-ukraine-totals-230-million" TargetMode="External"/><Relationship Id="rId404" Type="http://schemas.openxmlformats.org/officeDocument/2006/relationships/hyperlink" Target="https://www.stuff.co.nz/national/300597643/new-zealand-soldiers-excited-to-assist-ukraine-with-light-gun-training" TargetMode="External"/><Relationship Id="rId611" Type="http://schemas.openxmlformats.org/officeDocument/2006/relationships/hyperlink" Target="https://abouthungary.hu/news-in-brief/government-donates-huf-66-million-to-help-berehove-water-supply" TargetMode="External"/><Relationship Id="rId250" Type="http://schemas.openxmlformats.org/officeDocument/2006/relationships/hyperlink" Target="https://www.youtube.com/watch?v=vzENx6dTpqY" TargetMode="External"/><Relationship Id="rId488" Type="http://schemas.openxmlformats.org/officeDocument/2006/relationships/hyperlink" Target="https://www.whitehouse.gov/briefing-room/speeches-remarks/2022/04/21/remarks-by-president-biden-providing-an-update-on-russia-and-ukraine-3/" TargetMode="External"/><Relationship Id="rId695" Type="http://schemas.openxmlformats.org/officeDocument/2006/relationships/hyperlink" Target="https://www.reuters.com/business/aerospace-defense/britain-send-stormer-armoured-vehicles-ukraine-2022-04-25/" TargetMode="External"/><Relationship Id="rId709" Type="http://schemas.openxmlformats.org/officeDocument/2006/relationships/hyperlink" Target="https://www.lefigaro.fr/flash-actu/la-france-a-envoye-33-tonnes-d-aide-humanitaire-pour-l-ukraine-20220228" TargetMode="External"/><Relationship Id="rId45" Type="http://schemas.openxmlformats.org/officeDocument/2006/relationships/hyperlink" Target="https://www.mofa.go.jp/press/kaiken/kaiken24e_000113.html" TargetMode="External"/><Relationship Id="rId110" Type="http://schemas.openxmlformats.org/officeDocument/2006/relationships/hyperlink" Target="https://www.vlada.cz/cz/media-centrum/aktualne/informace-v-souvislosti-s-invazi-ruska-na-ukrajinu-194507/" TargetMode="External"/><Relationship Id="rId348" Type="http://schemas.openxmlformats.org/officeDocument/2006/relationships/hyperlink" Target="https://twitter.com/norwayeu/with_replies" TargetMode="External"/><Relationship Id="rId555" Type="http://schemas.openxmlformats.org/officeDocument/2006/relationships/hyperlink" Target="https://www.youtube.com/watch?v=vzENx6dTpqY" TargetMode="External"/><Relationship Id="rId762" Type="http://schemas.openxmlformats.org/officeDocument/2006/relationships/hyperlink" Target="https://www.defensie.nl/actueel/nieuws/2022/02/26/ook-antitankwapens-van-nederland-naar-oekraine" TargetMode="External"/><Relationship Id="rId194" Type="http://schemas.openxmlformats.org/officeDocument/2006/relationships/hyperlink" Target="https://twitter.com/desdelamoncloa/status/1497563071761453057" TargetMode="External"/><Relationship Id="rId208" Type="http://schemas.openxmlformats.org/officeDocument/2006/relationships/hyperlink" Target="https://appropriations.house.gov/sites/democrats.appropriations.house.gov/files/Ukraine%20Supplemental%20Summary.pdf" TargetMode="External"/><Relationship Id="rId415" Type="http://schemas.openxmlformats.org/officeDocument/2006/relationships/hyperlink" Target="https://cphpost.dk/?p=133294" TargetMode="External"/><Relationship Id="rId622" Type="http://schemas.openxmlformats.org/officeDocument/2006/relationships/hyperlink" Target="https://www.rferl.org/a/czech-republic-poland-new-military-aid-ukraine/31873938.html" TargetMode="External"/><Relationship Id="rId261" Type="http://schemas.openxmlformats.org/officeDocument/2006/relationships/hyperlink" Target="https://valtioneuvosto.fi/en/-/finland-to-send-arms-assistance-to-ukraine" TargetMode="External"/><Relationship Id="rId499" Type="http://schemas.openxmlformats.org/officeDocument/2006/relationships/hyperlink" Target="https://en.defence-ua.com/weapon_and_tech/portugal_to_send_howitzers_and_apcs_to_ukraine-2846.html" TargetMode="External"/><Relationship Id="rId56" Type="http://schemas.openxmlformats.org/officeDocument/2006/relationships/hyperlink" Target="https://gouvernement.lu/en/actualites/toutes_actualites/communiques/2022/02-fevrier/28-bausch-ukraine.html" TargetMode="External"/><Relationship Id="rId359" Type="http://schemas.openxmlformats.org/officeDocument/2006/relationships/hyperlink" Target="https://www.mfat.govt.nz/en/countries-and-regions/europe/ukraine/russian-invasion-of-ukraine/" TargetMode="External"/><Relationship Id="rId566" Type="http://schemas.openxmlformats.org/officeDocument/2006/relationships/hyperlink" Target="https://www.reuters.com/markets/europe/eu-offers-9-bln-euro-loan-ukraine-prepares-reconstruction-commission-2022-05-18/" TargetMode="External"/><Relationship Id="rId773" Type="http://schemas.openxmlformats.org/officeDocument/2006/relationships/hyperlink" Target="https://www.reuters.com/world/china-provide-5-mln-yuan-worth-humanitarian-assistance-ukraine-2022-03-09/" TargetMode="External"/><Relationship Id="rId121" Type="http://schemas.openxmlformats.org/officeDocument/2006/relationships/hyperlink" Target="https://twitter.com/eduardheger/status/1497624801497821188" TargetMode="External"/><Relationship Id="rId219" Type="http://schemas.openxmlformats.org/officeDocument/2006/relationships/hyperlink" Target="https://mfa.gov.cy/press-releases/2022/03/09/cyprus-humanitarian-aid-to-ukraine/" TargetMode="External"/><Relationship Id="rId426" Type="http://schemas.openxmlformats.org/officeDocument/2006/relationships/hyperlink" Target="https://eng.lsm.lv/article/society/defense/latvia-training-ukrainian-drone-pilots.a452320/" TargetMode="External"/><Relationship Id="rId633" Type="http://schemas.openxmlformats.org/officeDocument/2006/relationships/hyperlink" Target="https://www.rnz.co.nz/news/national/464762/first-shipment-of-nz-defence-equipment-arrives-to-aid-ukraine" TargetMode="External"/><Relationship Id="rId840" Type="http://schemas.openxmlformats.org/officeDocument/2006/relationships/hyperlink" Target="https://www.nytimes.com/2022/04/14/world/europe/ukraine-russia-nato-s300.html" TargetMode="External"/><Relationship Id="rId67" Type="http://schemas.openxmlformats.org/officeDocument/2006/relationships/hyperlink" Target="https://tapportals.mk.gov.lv/legal_acts/4cc2e5ed-8d7f-4052-8aaa-9a3a1d472b7d" TargetMode="External"/><Relationship Id="rId272" Type="http://schemas.openxmlformats.org/officeDocument/2006/relationships/hyperlink" Target="https://www.vlada.cz/cz/media-centrum/aktualne/informace-v-souvislosti-s-invazi-ruska-na-ukrajinu-194507/" TargetMode="External"/><Relationship Id="rId577" Type="http://schemas.openxmlformats.org/officeDocument/2006/relationships/hyperlink" Target="https://english.almayadeen.net/news/politics/canada-sends-lethal-weapons-to-ukraine" TargetMode="External"/><Relationship Id="rId700" Type="http://schemas.openxmlformats.org/officeDocument/2006/relationships/hyperlink" Target="https://www.rferl.org/a/czech-republic-poland-new-military-aid-ukraine/31873938.html" TargetMode="External"/><Relationship Id="rId132" Type="http://schemas.openxmlformats.org/officeDocument/2006/relationships/hyperlink" Target="https://www.reuters.com/world/europe/spain-send-grenade-launchers-machine-guns-ukraine-minister-says-2022-03-02/" TargetMode="External"/><Relationship Id="rId784" Type="http://schemas.openxmlformats.org/officeDocument/2006/relationships/hyperlink" Target="https://gagadget.com/en/129425-they-will-pour-armed-forces-of-ukraine-have-already-received-czech-multiple-launch-rocket-systems-rm-70/" TargetMode="External"/><Relationship Id="rId437" Type="http://schemas.openxmlformats.org/officeDocument/2006/relationships/hyperlink" Target="https://twitter.com/Defensagob/status/1512424894881017857" TargetMode="External"/><Relationship Id="rId644" Type="http://schemas.openxmlformats.org/officeDocument/2006/relationships/hyperlink" Target="https://www.armyrecognition.com/defense_news_may_2022_global_security_army_industry/us_pushing_portugal_to_cede_some_m113_apcs_to_ukraine.html" TargetMode="External"/><Relationship Id="rId851" Type="http://schemas.openxmlformats.org/officeDocument/2006/relationships/hyperlink" Target="https://focustaiwan.tw/politics/202206030014" TargetMode="External"/><Relationship Id="rId283" Type="http://schemas.openxmlformats.org/officeDocument/2006/relationships/hyperlink" Target="https://www.aa.com.tr/en/europe/france-to-offer-300m-worth-of-aid-military-equipment-to-ukraine/2515343" TargetMode="External"/><Relationship Id="rId490" Type="http://schemas.openxmlformats.org/officeDocument/2006/relationships/hyperlink" Target="https://www.ft.com/content/8d3a4174-6bcb-4867-a83e-47a258a918d0" TargetMode="External"/><Relationship Id="rId504" Type="http://schemas.openxmlformats.org/officeDocument/2006/relationships/hyperlink" Target="https://twitter.com/oleksiireznikov/status/1539234531764486149" TargetMode="External"/><Relationship Id="rId711" Type="http://schemas.openxmlformats.org/officeDocument/2006/relationships/hyperlink" Target="https://ec.europa.eu/echo/news-stories/news/ukraine-eu-delivers-additional-assistance-rescue-vehicles-and-emergency-equipment-2022-03-25_de" TargetMode="External"/><Relationship Id="rId78" Type="http://schemas.openxmlformats.org/officeDocument/2006/relationships/hyperlink" Target="https://www.globalcitizen.org/en/content/stand-up-for-ukraine-impact-report/" TargetMode="External"/><Relationship Id="rId143" Type="http://schemas.openxmlformats.org/officeDocument/2006/relationships/hyperlink" Target="https://www.wsj.com/livecoverage/russia-ukraine-latest-news-2022-03-24/card/u-k-to-send-extra-missiles-to-ukraine-prime-minister-says-wVycdL1VQIo91y4wGFxo" TargetMode="External"/><Relationship Id="rId350" Type="http://schemas.openxmlformats.org/officeDocument/2006/relationships/hyperlink" Target="https://norwaytoday.info/news/norway-is-giving-200-million-kroner-to-ukrainian-teachers-and-government-employees/" TargetMode="External"/><Relationship Id="rId588" Type="http://schemas.openxmlformats.org/officeDocument/2006/relationships/hyperlink" Target="https://www.stripes.com/theaters/us/2022-05-23/ukraine-russia-war-military-weapons-6104132.html" TargetMode="External"/><Relationship Id="rId795" Type="http://schemas.openxmlformats.org/officeDocument/2006/relationships/hyperlink" Target="https://www.diplomatie.gouv.fr/en/country-files/ukraine/news/article/ukraine-exceptional-assistance-from-france-to-bolster-food-security-for-the" TargetMode="External"/><Relationship Id="rId809" Type="http://schemas.openxmlformats.org/officeDocument/2006/relationships/hyperlink" Target="https://www.tagesspiegel.de/politik/lieferung-schwerer-waffen-ukraine-erhaelt-im-juli-erste-gepard-panzer-aus-deutschland/28363300.html" TargetMode="External"/><Relationship Id="rId9" Type="http://schemas.openxmlformats.org/officeDocument/2006/relationships/hyperlink" Target="https://um.dk/danida/lande-og-regioner/ukraine" TargetMode="External"/><Relationship Id="rId210" Type="http://schemas.openxmlformats.org/officeDocument/2006/relationships/hyperlink" Target="https://appropriations.house.gov/sites/democrats.appropriations.house.gov/files/Ukraine%20Supplemental%20Summary.pdf" TargetMode="External"/><Relationship Id="rId448" Type="http://schemas.openxmlformats.org/officeDocument/2006/relationships/hyperlink" Target="https://militaryleak.com/2022/05/01/denmark-to-send-m113-armored-personnel-carriers-and-weapons-to-ukraine/" TargetMode="External"/><Relationship Id="rId655" Type="http://schemas.openxmlformats.org/officeDocument/2006/relationships/hyperlink" Target="https://www.forces.net/technology/weapons-and-kit/latest-military-aid-being-sent-ukraine-west" TargetMode="External"/><Relationship Id="rId862" Type="http://schemas.openxmlformats.org/officeDocument/2006/relationships/hyperlink" Target="https://appropriations.house.gov/sites/democrats.appropriations.house.gov/files/Additional%20Ukraine%20Suplemental%20Appropriations%20Act%20Summary.pdf" TargetMode="External"/><Relationship Id="rId294" Type="http://schemas.openxmlformats.org/officeDocument/2006/relationships/hyperlink" Target="https://www.mfa.gr/en/current-affairs/statements-speeches/delivery-of-greek-humanitarian-aid-to-the-ukrainian-people-including-diaspora-greeks-in-odessa-11042022-and-departure-of-the-4th-humanitarian-mission-of-the-hellenic-red-cross-to-ukraine-odessa-12042022.html" TargetMode="External"/><Relationship Id="rId308" Type="http://schemas.openxmlformats.org/officeDocument/2006/relationships/hyperlink" Target="https://www.gov.uk/government/news/uk-government-and-nobel-prize-winner-launch-global-code-to-tackle-conflict-related-sexual-violence" TargetMode="External"/><Relationship Id="rId515" Type="http://schemas.openxmlformats.org/officeDocument/2006/relationships/hyperlink" Target="https://www.lemonde.fr/en/international/article/2022/04/24/france-is-delivering-caesar-cannons-and-milan-anti-tank-missiles-to-kiev_5981417_4.html" TargetMode="External"/><Relationship Id="rId722" Type="http://schemas.openxmlformats.org/officeDocument/2006/relationships/hyperlink" Target="https://www.whitehouse.gov/briefing-room/statements-releases/2022/05/06/statement-by-president-joe-biden-on-additional-security-assistance-to-ukraine/" TargetMode="External"/><Relationship Id="rId89" Type="http://schemas.openxmlformats.org/officeDocument/2006/relationships/hyperlink" Target="https://www.canada.ca/en/department-national-defence/news/2022/01/canada-extends-and-expands-military-and-other-support-for-the-security-of-ukraine.html" TargetMode="External"/><Relationship Id="rId154" Type="http://schemas.openxmlformats.org/officeDocument/2006/relationships/hyperlink" Target="https://www.reuters.com/world/europe/sweden-send-military-aid-ukraine-pm-andersson-2022-02-27/" TargetMode="External"/><Relationship Id="rId361" Type="http://schemas.openxmlformats.org/officeDocument/2006/relationships/hyperlink" Target="https://www.dw.com/en/new-zealand-announces-new-measures-to-support-ukraine/a-61127549" TargetMode="External"/><Relationship Id="rId599" Type="http://schemas.openxmlformats.org/officeDocument/2006/relationships/hyperlink" Target="https://www.bundeskanzleramt.gv.at/bundeskanzleramt/nachrichten-der-bundesregierung/2022/06/bundeskanzler-nehammer-wir-helfen-dort-wo-es-uns-als-neutrales-oesterreich-moeglich-ist.html" TargetMode="External"/><Relationship Id="rId459" Type="http://schemas.openxmlformats.org/officeDocument/2006/relationships/hyperlink" Target="https://twitter.com/MinColonna/status/1531344296191868928" TargetMode="External"/><Relationship Id="rId666" Type="http://schemas.openxmlformats.org/officeDocument/2006/relationships/hyperlink" Target="https://www.reuters.com/world/europe/sweden-provide-ukraine-with-5000-more-anti-tank-weapons-tt-news-agency-2022-03-23/" TargetMode="External"/><Relationship Id="rId873" Type="http://schemas.openxmlformats.org/officeDocument/2006/relationships/hyperlink" Target="https://defensereview.com/aevex-aerospace-phoenix-ghost-secretive-suicide-kamikaze-drone-aircraft-being-shipped-to-ukraine-to-help-fight-the-russians/" TargetMode="External"/><Relationship Id="rId16" Type="http://schemas.openxmlformats.org/officeDocument/2006/relationships/hyperlink" Target="https://abouthungary.hu/news-in-brief/hungary-to-make-another-shipment-of-humanitarian-aid-to-ukraine?msclkid=ca53d542ab8b11ec95fbf81dabb45ae9" TargetMode="External"/><Relationship Id="rId221" Type="http://schemas.openxmlformats.org/officeDocument/2006/relationships/hyperlink" Target="https://www.vlada.cz/cz/media-centrum/aktualne/vlada-petra-fialy-schvalila-dalsi-vojenskou-pomoc-bojujici-ukrajine-194603/" TargetMode="External"/><Relationship Id="rId319" Type="http://schemas.openxmlformats.org/officeDocument/2006/relationships/hyperlink" Target="https://kaitseministeerium.ee/en/news/estonia-donated-missiles-anti-tank-weapon-system-javelin-ukraine" TargetMode="External"/><Relationship Id="rId526" Type="http://schemas.openxmlformats.org/officeDocument/2006/relationships/hyperlink" Target="https://twitter.com/UAWeapons/status/1530575142115495937" TargetMode="External"/><Relationship Id="rId733" Type="http://schemas.openxmlformats.org/officeDocument/2006/relationships/hyperlink" Target="https://intermin.fi/en/ukraine/civilian-assistance-to-ukraine" TargetMode="External"/><Relationship Id="rId165" Type="http://schemas.openxmlformats.org/officeDocument/2006/relationships/hyperlink" Target="https://www.gov.uk/government/news/prime-minister-pledges-uks-unwavering-support-to-ukraine-on-visit-to-kyiv-9-april-2022" TargetMode="External"/><Relationship Id="rId372" Type="http://schemas.openxmlformats.org/officeDocument/2006/relationships/hyperlink" Target="https://www.reuters.com/world/europe/ukraines-zelenskiy-says-tens-thousands-killed-mariupol-seeks-military-aid-skorea-2022-04-11/" TargetMode="External"/><Relationship Id="rId677" Type="http://schemas.openxmlformats.org/officeDocument/2006/relationships/hyperlink" Target="https://www.reuters.com/world/europe/sweden-supply-more-military-aid-including-anti-ship-missiles-ukraine-2022-06-02/" TargetMode="External"/><Relationship Id="rId800" Type="http://schemas.openxmlformats.org/officeDocument/2006/relationships/hyperlink" Target="https://www.canada.ca/en/department-national-defence/news/2022/04/canada-announces-artillery-and-other-additional-military-aid-for-ukraine.html" TargetMode="External"/><Relationship Id="rId232" Type="http://schemas.openxmlformats.org/officeDocument/2006/relationships/hyperlink" Target="https://eng.lsm.lv/article/economy/economy/latvia-directs-additional-five-million-euros-to-ukraine.a446989/" TargetMode="External"/><Relationship Id="rId884" Type="http://schemas.openxmlformats.org/officeDocument/2006/relationships/hyperlink" Target="https://echo24.cz/a/SrjYb/cesko-poslalo-na-ukrajinu-desitky-tanku-t-72-a-bvp" TargetMode="External"/><Relationship Id="rId27" Type="http://schemas.openxmlformats.org/officeDocument/2006/relationships/hyperlink" Target="https://www.diplomatie.gouv.fr/en/country-files/ukraine/news/article/ukraine-france-mobilizes-to-deliver-emergency-medical-aid-to-victims-of-the" TargetMode="External"/><Relationship Id="rId537" Type="http://schemas.openxmlformats.org/officeDocument/2006/relationships/hyperlink" Target="https://www.thelocal.es/20220421/spain-sends-200-tonnes-of-military-material-to-ukraine-pm/" TargetMode="External"/><Relationship Id="rId744" Type="http://schemas.openxmlformats.org/officeDocument/2006/relationships/hyperlink" Target="https://bulgarianmilitary.com/2022/06/20/ukraine-gets-australian-m113as4-with-12-7mm-browning-m2hb-qcb-355hp/" TargetMode="External"/><Relationship Id="rId80" Type="http://schemas.openxmlformats.org/officeDocument/2006/relationships/hyperlink" Target="https://www.canada.ca/en/department-national-defence/news/2022/03/defence-minister-anand-announces-additional-military-support-to-ukraine.html?msclkid=50865665ab9011ecbb2d77d3ecd6e3a6" TargetMode="External"/><Relationship Id="rId176" Type="http://schemas.openxmlformats.org/officeDocument/2006/relationships/hyperlink" Target="https://www.gov.uk/government/speeches/pm-statement-at-ukraine-press-conference-1-february-2022" TargetMode="External"/><Relationship Id="rId383" Type="http://schemas.openxmlformats.org/officeDocument/2006/relationships/hyperlink" Target="https://www.usaid.gov/news-information/press-releases/mar-10-2022-united-states-announces-additional-humanitarian-assistance?msclkid=fc0f8e8dae8611ecaad8dc70eab615cc" TargetMode="External"/><Relationship Id="rId590" Type="http://schemas.openxmlformats.org/officeDocument/2006/relationships/hyperlink" Target="https://www.ekathimerini.com/news/1179620/greek-role-within-nato-is-upgraded/" TargetMode="External"/><Relationship Id="rId604" Type="http://schemas.openxmlformats.org/officeDocument/2006/relationships/hyperlink" Target="https://interfax.com/newsroom/top-stories/78780/" TargetMode="External"/><Relationship Id="rId811" Type="http://schemas.openxmlformats.org/officeDocument/2006/relationships/hyperlink" Target="https://www.tagesspiegel.de/politik/erste-schwere-waffen-aus-deutschland-sieben-panzerhaubitzen-2000-in-der-ukraine-angekommen/28443496.html" TargetMode="External"/><Relationship Id="rId243" Type="http://schemas.openxmlformats.org/officeDocument/2006/relationships/hyperlink" Target="https://www.youtube.com/watch?v=NdYiLiivIgs" TargetMode="External"/><Relationship Id="rId450" Type="http://schemas.openxmlformats.org/officeDocument/2006/relationships/hyperlink" Target="https://en.kriseinformation.dk/denmarks-reactions/denmarks-contributions" TargetMode="External"/><Relationship Id="rId688" Type="http://schemas.openxmlformats.org/officeDocument/2006/relationships/hyperlink" Target="https://www.techopital.com/la-france-envoie-28-tonnes-de-materiel-medical-en-ukraine-NS_6281.html" TargetMode="External"/><Relationship Id="rId38" Type="http://schemas.openxmlformats.org/officeDocument/2006/relationships/hyperlink" Target="https://www.irishtimes.com/news/health/thousands-of-blood-bags-and-protective-suits-among-irish-aid-sent-to-ukraine-1.4824403" TargetMode="External"/><Relationship Id="rId103" Type="http://schemas.openxmlformats.org/officeDocument/2006/relationships/hyperlink" Target="https://english.radio.cz/czech-republic-send-more-arms-ukraine-8745032" TargetMode="External"/><Relationship Id="rId310" Type="http://schemas.openxmlformats.org/officeDocument/2006/relationships/hyperlink" Target="https://reliefweb.int/report/ukraine/uk-pledges-another-80-million-aid-help-ukraine-deal-humanitarian-crisis" TargetMode="External"/><Relationship Id="rId548" Type="http://schemas.openxmlformats.org/officeDocument/2006/relationships/hyperlink" Target="https://www.globalcitizen.org/en/content/stand-up-for-ukraine-impact-report/" TargetMode="External"/><Relationship Id="rId755" Type="http://schemas.openxmlformats.org/officeDocument/2006/relationships/hyperlink" Target="https://www.lrt.lt/en/news-in-english/19/1702318/lithuania-among-top-15-of-ukraine-s-military-donors-mp" TargetMode="External"/><Relationship Id="rId91" Type="http://schemas.openxmlformats.org/officeDocument/2006/relationships/hyperlink" Target="https://www.canada.ca/en/department-finance/news/2022/02/canada-pledges-additional-support-for-ukraine.html" TargetMode="External"/><Relationship Id="rId187" Type="http://schemas.openxmlformats.org/officeDocument/2006/relationships/hyperlink" Target="https://www.romania-insider.com/ro-ukraine-eu-civil-protection-feb-2022" TargetMode="External"/><Relationship Id="rId394" Type="http://schemas.openxmlformats.org/officeDocument/2006/relationships/hyperlink" Target="https://telex.hu/kulfold/2022/02/27/magyarorszag-100-ezer-liter-uzemanyagot-adomanyozott-karpataljanak" TargetMode="External"/><Relationship Id="rId408" Type="http://schemas.openxmlformats.org/officeDocument/2006/relationships/hyperlink" Target="https://www.canada.ca/en/global-affairs/news/2022/05/g7-development-ministers-conclude-successful-meeting-and-issue-statement-on-ukraine.html" TargetMode="External"/><Relationship Id="rId615" Type="http://schemas.openxmlformats.org/officeDocument/2006/relationships/hyperlink" Target="https://admin.globalcitizen.org/en/content/australia-aid-ukraine/?edit" TargetMode="External"/><Relationship Id="rId822" Type="http://schemas.openxmlformats.org/officeDocument/2006/relationships/hyperlink" Target="https://300gospodarka.pl/news/dworczyk-wartosc-polskiej-pomocy-militarnej-dla-ukrainy-to-juz-18-mld-euro" TargetMode="External"/><Relationship Id="rId254" Type="http://schemas.openxmlformats.org/officeDocument/2006/relationships/hyperlink" Target="https://twitter.com/AnnikaSaarikko/status/1519361293823746049?s=20&amp;t=bCGlZWqdKQAC7geTzWxcRw" TargetMode="External"/><Relationship Id="rId699" Type="http://schemas.openxmlformats.org/officeDocument/2006/relationships/hyperlink" Target="https://hr.n1info.com/svijet/ek-daje-200-mil-eura-za-ukrajince-plenkovic-hrvatska-ce-pomagati-iz-principa/" TargetMode="External"/><Relationship Id="rId49" Type="http://schemas.openxmlformats.org/officeDocument/2006/relationships/hyperlink" Target="https://www.expats.cz/czech-news/article/czech-republic-to-donate-100-million-crowns-of-medical-supplies-to-ukraine?msclkid=70d47c46ab9e11eca12fbfc7dff1390d" TargetMode="External"/><Relationship Id="rId114" Type="http://schemas.openxmlformats.org/officeDocument/2006/relationships/hyperlink" Target="https://www.vlada.cz/cz/media-centrum/aktualne/informace-v-souvislosti-s-invazi-ruska-na-ukrajinu-194507/" TargetMode="External"/><Relationship Id="rId461" Type="http://schemas.openxmlformats.org/officeDocument/2006/relationships/hyperlink" Target="https://www.bmz.de/de/laender/ukraine" TargetMode="External"/><Relationship Id="rId559" Type="http://schemas.openxmlformats.org/officeDocument/2006/relationships/hyperlink" Target="https://www.eib.org/en/projects/regions/eastern-neighbours/ukraine/eib-solidarity.htm?sortColumn=StartDate&amp;sortDir=desc&amp;pageNumber=0&amp;itemPerPage=10&amp;pageable=true&amp;language=EN&amp;defaultLanguage=EN&amp;tags=ukraine-solidarity&amp;ortags=true" TargetMode="External"/><Relationship Id="rId766" Type="http://schemas.openxmlformats.org/officeDocument/2006/relationships/hyperlink" Target="https://www.ukrinform.net/rubric-society/3477447-india-donates-total-of-187-tonnes-of-humanitarian-aid-to-ukrainian-hospitals.html" TargetMode="External"/><Relationship Id="rId198" Type="http://schemas.openxmlformats.org/officeDocument/2006/relationships/hyperlink" Target="https://www.gov.uk/government/speeches/pm-opening-remarks-at-press-conference-with-german-chancellor-olaf-scholz-8-april-2022" TargetMode="External"/><Relationship Id="rId321" Type="http://schemas.openxmlformats.org/officeDocument/2006/relationships/hyperlink" Target="https://www.minister.industry.gov.au/ministers/pitt/media-releases/whitehaven-assist-ukraine-request-provide-energy-security" TargetMode="External"/><Relationship Id="rId419" Type="http://schemas.openxmlformats.org/officeDocument/2006/relationships/hyperlink" Target="https://um.fi/press-releases/-/asset_publisher/ued5t2wDmr1C/content/suomi-myontaa-4-miljoonaa-euroa-lisatukea-ukrainalle-kehitysyhteistyon-ja-humanitaarisen-avun-kautta/35732" TargetMode="External"/><Relationship Id="rId626" Type="http://schemas.openxmlformats.org/officeDocument/2006/relationships/hyperlink" Target="https://www.globalcitizen.org/en/content/australia-ukraine-aid-follow-up/" TargetMode="External"/><Relationship Id="rId833" Type="http://schemas.openxmlformats.org/officeDocument/2006/relationships/hyperlink" Target="https://mezha.media/en/2022/04/25/the-warmate-uav-a-polish-alternative-to-the-switchblades-kamikaze-drone-already-in-ukraine/" TargetMode="External"/><Relationship Id="rId265" Type="http://schemas.openxmlformats.org/officeDocument/2006/relationships/hyperlink" Target="https://twitter.com/eduardheger/status/1497624801497821188" TargetMode="External"/><Relationship Id="rId472" Type="http://schemas.openxmlformats.org/officeDocument/2006/relationships/hyperlink" Target="https://www.gazzettaufficiale.it/eli/id/2022/04/27/22A02651/sg" TargetMode="External"/><Relationship Id="rId125" Type="http://schemas.openxmlformats.org/officeDocument/2006/relationships/hyperlink" Target="https://www.aa.com.tr/en/russia-ukraine-crisis/slovakia-to-send-more-military-supplies-to-ukraine-premier-says/2518136" TargetMode="External"/><Relationship Id="rId332" Type="http://schemas.openxmlformats.org/officeDocument/2006/relationships/hyperlink" Target="https://www.lesoir.be/437698/article/2022-04-22/guerre-en-ukraine-la-belgique-sapprete-livrer-de-nouveaux-missiles-antichars" TargetMode="External"/><Relationship Id="rId777" Type="http://schemas.openxmlformats.org/officeDocument/2006/relationships/hyperlink" Target="https://www.reuters.com/world/europe/czech-republic-sends-tanks-ukraine-czech-tv-reports-2022-04-05/" TargetMode="External"/><Relationship Id="rId637" Type="http://schemas.openxmlformats.org/officeDocument/2006/relationships/hyperlink" Target="https://en.yna.co.kr/view/AEN20220526005300325" TargetMode="External"/><Relationship Id="rId844" Type="http://schemas.openxmlformats.org/officeDocument/2006/relationships/hyperlink" Target="https://www.euractiv.com/section/politics/short_news/slovenia-sends-military-aid-including-weapons-to-ukraine/" TargetMode="External"/><Relationship Id="rId276" Type="http://schemas.openxmlformats.org/officeDocument/2006/relationships/hyperlink" Target="https://www.arout.net/france-sends-dozens-of-fire-engines-and-ambulances-to-ukraine-to-support-the-war-against-russia/" TargetMode="External"/><Relationship Id="rId483" Type="http://schemas.openxmlformats.org/officeDocument/2006/relationships/hyperlink" Target="https://www.whitehouse.gov/briefing-room/statements-releases/2022/05/06/statement-by-president-joe-biden-on-additional-security-assistance-to-ukraine/" TargetMode="External"/><Relationship Id="rId690" Type="http://schemas.openxmlformats.org/officeDocument/2006/relationships/hyperlink" Target="https://www.ilmessaggero.it/mondo/armi_italia_ucraina_inviate_quali_sono_guerra_russia_ultime_notizie-6743279.html" TargetMode="External"/><Relationship Id="rId704" Type="http://schemas.openxmlformats.org/officeDocument/2006/relationships/hyperlink" Target="https://news.err.ee/1608589426/estonia-s-military-aid-to-ukraine-totals-230-million" TargetMode="External"/><Relationship Id="rId40" Type="http://schemas.openxmlformats.org/officeDocument/2006/relationships/hyperlink" Target="https://hr.n1info.com/english/news/croatia-sends-emergency-aid-worth-e1-2m-to-ukraine-in-wake-of-russias-invasion/" TargetMode="External"/><Relationship Id="rId136" Type="http://schemas.openxmlformats.org/officeDocument/2006/relationships/hyperlink" Target="https://www.romania-insider.com/ro-aid-ukraine-sanctions-feb-28-2022" TargetMode="External"/><Relationship Id="rId343" Type="http://schemas.openxmlformats.org/officeDocument/2006/relationships/hyperlink" Target="https://www.regjeringen.no/en/aktuelt/air-defense-system-to-ukraine/id2908807/" TargetMode="External"/><Relationship Id="rId550" Type="http://schemas.openxmlformats.org/officeDocument/2006/relationships/hyperlink" Target="https://www.europarl.europa.eu/RegData/etudes/ATAG/2022/729301/EPRS_ATA(2022)729301_EN.pdf" TargetMode="External"/><Relationship Id="rId788" Type="http://schemas.openxmlformats.org/officeDocument/2006/relationships/hyperlink" Target="https://www.rferl.org/a/czech-republic-poland-new-military-aid-ukraine/31873938.html" TargetMode="External"/><Relationship Id="rId203" Type="http://schemas.openxmlformats.org/officeDocument/2006/relationships/hyperlink" Target="https://www.defense.gov/News/Releases/Release/Article/3007664/fact-sheet-on-us-security-assistance-for-ukraine-roll-up-as-of-april-21-2022/" TargetMode="External"/><Relationship Id="rId648" Type="http://schemas.openxmlformats.org/officeDocument/2006/relationships/hyperlink" Target="https://government.se/press-releases/2022/04/sweden-supporting-ukraine-with-equipment-to-secure-the-countrys-energy-supply/" TargetMode="External"/><Relationship Id="rId855" Type="http://schemas.openxmlformats.org/officeDocument/2006/relationships/hyperlink" Target="https://www.gov.uk/government/news/uk-to-gift-multiple-launch-rocket-systems-to-ukraine" TargetMode="External"/><Relationship Id="rId287" Type="http://schemas.openxmlformats.org/officeDocument/2006/relationships/hyperlink" Target="https://www.reuters.com/world/europe/france-strengthen-military-humanitarian-aid-ukraine-elysee-2022-04-30/" TargetMode="External"/><Relationship Id="rId410" Type="http://schemas.openxmlformats.org/officeDocument/2006/relationships/hyperlink" Target="https://www.canada.ca/en/department-national-defence/news/2022/04/canada-announces-artillery-and-other-additional-military-aid-for-ukraine.html" TargetMode="External"/><Relationship Id="rId494" Type="http://schemas.openxmlformats.org/officeDocument/2006/relationships/hyperlink" Target="https://www.ukrinform.net/rubric-polytics/3488816-portugal-will-provide-financial-assistance-to-ukraine.html" TargetMode="External"/><Relationship Id="rId508" Type="http://schemas.openxmlformats.org/officeDocument/2006/relationships/hyperlink" Target="https://defence-blog.com/dutch-ypr-765-infantry-vehicles-arrived-in-ukraine/" TargetMode="External"/><Relationship Id="rId715" Type="http://schemas.openxmlformats.org/officeDocument/2006/relationships/hyperlink" Target="https://www.gov.uk/government/news/uk-to-bolster-defensive-aid-to-ukraine-with-new-100m-package" TargetMode="External"/><Relationship Id="rId147" Type="http://schemas.openxmlformats.org/officeDocument/2006/relationships/hyperlink" Target="https://ukdefencejournal.org.uk/britain-sending-anti-aircraft-and-javelin-missiles-to-ukraine/" TargetMode="External"/><Relationship Id="rId354" Type="http://schemas.openxmlformats.org/officeDocument/2006/relationships/hyperlink" Target="https://www.beehive.govt.nz/release/nz-provide-non-lethal-military-assistance-ukraine" TargetMode="External"/><Relationship Id="rId799" Type="http://schemas.openxmlformats.org/officeDocument/2006/relationships/hyperlink" Target="https://www.canada.ca/en/department-national-defence/news/2022/04/canada-announces-artillery-and-other-additional-military-aid-for-ukraine.html" TargetMode="External"/><Relationship Id="rId51" Type="http://schemas.openxmlformats.org/officeDocument/2006/relationships/hyperlink" Target="https://www.vlada.cz/cz/media-centrum/aktualne/vlada-kvuli-migracni-krizi-vyhlasila-od-patku-nouzovy-stav--schvalila-i-dalsi-pomoc-pro-ukrajinu-a-navrh-na-zvyseni-vydaju-na-obranu-194695/" TargetMode="External"/><Relationship Id="rId561" Type="http://schemas.openxmlformats.org/officeDocument/2006/relationships/hyperlink" Target="https://ec.europa.eu/info/business-economy-euro/economic-and-fiscal-policy-coordination/international-economic-relations/enlargement-and-neighbouring-countries/neighbouring-countries-eu/neighbourhood-countries/ukraine_en" TargetMode="External"/><Relationship Id="rId659" Type="http://schemas.openxmlformats.org/officeDocument/2006/relationships/hyperlink" Target="https://frontnews.eu/en/news/details/31081" TargetMode="External"/><Relationship Id="rId866" Type="http://schemas.openxmlformats.org/officeDocument/2006/relationships/hyperlink" Target="https://www.defensenews.com/pentagon/2022/06/01/us-will-send-himars-precision-rockets-to-ukraine/" TargetMode="External"/><Relationship Id="rId214" Type="http://schemas.openxmlformats.org/officeDocument/2006/relationships/hyperlink" Target="https://www.whitehouse.gov/briefing-room/statements-releases/2022/03/30/readout-of-president-bidens-call-with-president-zelenskyy-of-ukraine-8/" TargetMode="External"/><Relationship Id="rId298" Type="http://schemas.openxmlformats.org/officeDocument/2006/relationships/hyperlink" Target="https://interfax.com/newsroom/top-stories/78794/" TargetMode="External"/><Relationship Id="rId421" Type="http://schemas.openxmlformats.org/officeDocument/2006/relationships/hyperlink" Target="https://www.business-standard.com/article/international/japan-will-double-financial-aid-for-ukraine-to-600-million-pm-kishida-122051900737_1.html" TargetMode="External"/><Relationship Id="rId519" Type="http://schemas.openxmlformats.org/officeDocument/2006/relationships/hyperlink" Target="https://www.asahi.com/ajw/articles/14608909" TargetMode="External"/><Relationship Id="rId158" Type="http://schemas.openxmlformats.org/officeDocument/2006/relationships/hyperlink" Target="https://twitter.com/AnnLinde/status/1506663502865485844?msclkid=7276d96ab5d011ecb3f22619c3297e84" TargetMode="External"/><Relationship Id="rId726" Type="http://schemas.openxmlformats.org/officeDocument/2006/relationships/hyperlink" Target="https://babel.ua/en/news/78825-portugal-will-hand-over-another-160-tons-of-military-aid-to-ukraine" TargetMode="External"/><Relationship Id="rId62" Type="http://schemas.openxmlformats.org/officeDocument/2006/relationships/hyperlink" Target="https://www.gov.ie/en/press-release/2e59c-update-on-medical-humanitarian-support-to-ukraine/" TargetMode="External"/><Relationship Id="rId365" Type="http://schemas.openxmlformats.org/officeDocument/2006/relationships/hyperlink" Target="http://www.koreaherald.com/view.php?ud=20220228000968" TargetMode="External"/><Relationship Id="rId572" Type="http://schemas.openxmlformats.org/officeDocument/2006/relationships/hyperlink" Target="https://www.bmi.gv.at/news.aspx?id=69543149763057644C4C633D" TargetMode="External"/><Relationship Id="rId225" Type="http://schemas.openxmlformats.org/officeDocument/2006/relationships/hyperlink" Target="https://civilna-zastita.gov.hr/vijesti/dostavljena-zurna-humanitarna-pomoc-ukrajini-u-organizaciji-ravnateljstva-civilne-zastite/5634" TargetMode="External"/><Relationship Id="rId432" Type="http://schemas.openxmlformats.org/officeDocument/2006/relationships/hyperlink" Target="https://www.youtube.com/watch?v=A1nTsblXabc" TargetMode="External"/><Relationship Id="rId877" Type="http://schemas.openxmlformats.org/officeDocument/2006/relationships/hyperlink" Target="https://www.defense.gov/News/Releases/Release/Article/3066864/fact-sheet-on-us-security-assistance-to-ukraine/" TargetMode="External"/><Relationship Id="rId737" Type="http://schemas.openxmlformats.org/officeDocument/2006/relationships/hyperlink" Target="https://intermin.fi/en/ukraine/civilian-assistance-to-ukraine" TargetMode="External"/><Relationship Id="rId73" Type="http://schemas.openxmlformats.org/officeDocument/2006/relationships/hyperlink" Target="https://delano.lu/article/luxembourg-delivering-substant" TargetMode="External"/><Relationship Id="rId169" Type="http://schemas.openxmlformats.org/officeDocument/2006/relationships/hyperlink" Target="https://www.lamoncloa.gob.es/lang/en/gobierno/news/Paginas/2022/20220226_humanitarian-aid.aspx" TargetMode="External"/><Relationship Id="rId376" Type="http://schemas.openxmlformats.org/officeDocument/2006/relationships/hyperlink" Target="https://www.canada.ca/en/department-national-defence/news/2022/04/canada-announces-artillery-and-other-additional-military-aid-for-ukraine.html" TargetMode="External"/><Relationship Id="rId583" Type="http://schemas.openxmlformats.org/officeDocument/2006/relationships/hyperlink" Target="https://militaryleak.com/2022/05/01/denmark-to-send-m113-armored-personnel-carriers-and-weapons-to-ukraine/" TargetMode="External"/><Relationship Id="rId790" Type="http://schemas.openxmlformats.org/officeDocument/2006/relationships/hyperlink" Target="https://www.ctvnews.ca/politics/canada-pledges-more-aid-and-loans-to-ukraine-as-g7-targets-russian-oil-1.5965947" TargetMode="External"/><Relationship Id="rId804" Type="http://schemas.openxmlformats.org/officeDocument/2006/relationships/hyperlink" Target="https://www.spiegel.de/politik/deutschland/ukraine-krieg-deutschland-lieferte-waffen-fuer-37-millionen-euro-a-460a7b35-70aa-40bb-8ec7-80f5606f0d5a" TargetMode="External"/><Relationship Id="rId4" Type="http://schemas.openxmlformats.org/officeDocument/2006/relationships/hyperlink" Target="https://www.mfa.gov.lv/en/article/latvian-foreign-ministry-channel-eur-24000000-towards-assistance-ukraine" TargetMode="External"/><Relationship Id="rId236" Type="http://schemas.openxmlformats.org/officeDocument/2006/relationships/hyperlink" Target="https://um.dk/en/danida/countries-and-regions/ukraine" TargetMode="External"/><Relationship Id="rId443" Type="http://schemas.openxmlformats.org/officeDocument/2006/relationships/hyperlink" Target="https://www.government.se/press-releases/2022/05/sweden-and-poland-co-host-international-donors-conference-to-support-ukrainian-people/" TargetMode="External"/><Relationship Id="rId650" Type="http://schemas.openxmlformats.org/officeDocument/2006/relationships/hyperlink" Target="https://www.armyrecognition.com/defense_news_may_2022_global_security_army_industry/lithuania_prepares_a_shipment_of_20_m113_tracked_apcs_to_ukraine.html" TargetMode="External"/><Relationship Id="rId888" Type="http://schemas.openxmlformats.org/officeDocument/2006/relationships/hyperlink" Target="https://www.defense.gov/News/Releases/Release/Article/3081993/820-million-in-additional-security-assistance-for-ukraine/" TargetMode="External"/><Relationship Id="rId303" Type="http://schemas.openxmlformats.org/officeDocument/2006/relationships/hyperlink" Target="https://sloveniatimes.com/slovenia-sending-eur-100000-aid-to-ukraine/" TargetMode="External"/><Relationship Id="rId748" Type="http://schemas.openxmlformats.org/officeDocument/2006/relationships/hyperlink" Target="https://www.regjeringen.no/en/aktuelt/norge-og-storbritannia-gir-langtrekkende-rakettartilleri-til-ukraina/id2921395/" TargetMode="External"/><Relationship Id="rId84" Type="http://schemas.openxmlformats.org/officeDocument/2006/relationships/hyperlink" Target="https://www.canada.ca/en/global-affairs/news/2022/03/canadas-humanitarian-assistance-for-ukraine.html" TargetMode="External"/><Relationship Id="rId387" Type="http://schemas.openxmlformats.org/officeDocument/2006/relationships/hyperlink" Target="https://appropriations.house.gov/sites/democrats.appropriations.house.gov/files/Additional%20Ukraine%20Suplemental%20Appropriations%20Act%20Summary.pdf" TargetMode="External"/><Relationship Id="rId510" Type="http://schemas.openxmlformats.org/officeDocument/2006/relationships/hyperlink" Target="https://defensereview.com/aevex-aerospace-phoenix-ghost-secretive-suicide-kamikaze-drone-aircraft-being-shipped-to-ukraine-to-help-fight-the-russians/" TargetMode="External"/><Relationship Id="rId594" Type="http://schemas.openxmlformats.org/officeDocument/2006/relationships/hyperlink" Target="https://www.reuters.com/world/europe/spain-deliver-anti-aircraft-missiles-tanks-ukraine-el-pais-2022-06-05/" TargetMode="External"/><Relationship Id="rId608" Type="http://schemas.openxmlformats.org/officeDocument/2006/relationships/hyperlink" Target="https://bnr.bg/en/post/101627966" TargetMode="External"/><Relationship Id="rId815" Type="http://schemas.openxmlformats.org/officeDocument/2006/relationships/hyperlink" Target="https://www.bundesregierung.de/breg-de/themen/krieg-in-der-ukraine/lieferungen-ukraine-2054514" TargetMode="External"/><Relationship Id="rId247" Type="http://schemas.openxmlformats.org/officeDocument/2006/relationships/hyperlink" Target="https://twitter.com/MinPres/status/1516393082148773892" TargetMode="External"/><Relationship Id="rId107" Type="http://schemas.openxmlformats.org/officeDocument/2006/relationships/hyperlink" Target="https://www.vlada.cz/cz/media-centrum/aktualne/informace-v-souvislosti-s-invazi-ruska-na-ukrajinu-194507/" TargetMode="External"/><Relationship Id="rId454" Type="http://schemas.openxmlformats.org/officeDocument/2006/relationships/hyperlink" Target="https://mil.in.ua/en/news/ukraine-received-senator-apc-armored-vehicles/" TargetMode="External"/><Relationship Id="rId661" Type="http://schemas.openxmlformats.org/officeDocument/2006/relationships/hyperlink" Target="https://www-regjeringen-no.translate.goog/no/aktuelt/norge-har-donert-artilleriskyts-til-ukraina/id2917760/?_x_tr_sl=auto&amp;_x_tr_tl=auto&amp;_x_tr_hl=de" TargetMode="External"/><Relationship Id="rId759" Type="http://schemas.openxmlformats.org/officeDocument/2006/relationships/hyperlink" Target="https://www.volkskrant.nl/nieuws-achtergrond/nederland-levert-militaire-goederen-en-wapens-aan-oekraine-ter-waarde-van-7-4-miljoen-euro~be2a2004/?referrer=https%3A%2F%2Fen.wikipedia.org%2F" TargetMode="External"/><Relationship Id="rId11" Type="http://schemas.openxmlformats.org/officeDocument/2006/relationships/hyperlink" Target="https://um.dk/danida/lande-og-regioner/ukraine" TargetMode="External"/><Relationship Id="rId314" Type="http://schemas.openxmlformats.org/officeDocument/2006/relationships/hyperlink" Target="https://www.whitehouse.gov/briefing-room/press-briefings/2022/03/15/press-briefing-by-press-secretary-jen-psaki-march-15-2022/" TargetMode="External"/><Relationship Id="rId398" Type="http://schemas.openxmlformats.org/officeDocument/2006/relationships/hyperlink" Target="https://www.19fortyfive.com/2022/04/switchblade-the-drone-giving-ukraine-a-big-edge-against-russia/" TargetMode="External"/><Relationship Id="rId521" Type="http://schemas.openxmlformats.org/officeDocument/2006/relationships/hyperlink" Target="https://www.teletrader.com/lithuania-to-give-ukraine-10m-in-military-aid/news/details/57547008?internal=1&amp;ts=1654245351379" TargetMode="External"/><Relationship Id="rId619" Type="http://schemas.openxmlformats.org/officeDocument/2006/relationships/hyperlink" Target="https://www.rferl.org/a/czech-republic-poland-new-military-aid-ukraine/31873938.html" TargetMode="External"/><Relationship Id="rId95" Type="http://schemas.openxmlformats.org/officeDocument/2006/relationships/hyperlink" Target="https://www.canada.ca/en/department-national-defence/news/2022/03/defence-minister-anand-announces-additional-military-support-to-ukraine.html" TargetMode="External"/><Relationship Id="rId160"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826" Type="http://schemas.openxmlformats.org/officeDocument/2006/relationships/hyperlink" Target="https://radar.rp.pl/przemysl-obronny/art35751811-pioruny-drony-i-amunicja-polskie-uzbrojenie-w-drodze-na-ukraine" TargetMode="External"/><Relationship Id="rId258" Type="http://schemas.openxmlformats.org/officeDocument/2006/relationships/hyperlink" Target="https://www.youtube.com/watch?v=vzENx6dTpqY" TargetMode="External"/><Relationship Id="rId465" Type="http://schemas.openxmlformats.org/officeDocument/2006/relationships/hyperlink" Target="https://www.sueddeutsche.de/politik/g7-deutschland-gibt-ukraine-rund-eine-milliarde-euro-dpa.urn-newsml-dpa-com-20090101-220519-99-355600" TargetMode="External"/><Relationship Id="rId672" Type="http://schemas.openxmlformats.org/officeDocument/2006/relationships/hyperlink" Target="https://www.government.se/press-releases/2022/06/additional-amending-budget-with-further-support-to-ukraine/" TargetMode="External"/><Relationship Id="rId22" Type="http://schemas.openxmlformats.org/officeDocument/2006/relationships/hyperlink" Target="https://um.dk/danida/lande-og-regioner/ukraine" TargetMode="External"/><Relationship Id="rId118" Type="http://schemas.openxmlformats.org/officeDocument/2006/relationships/hyperlink" Target="https://czechdaily.cz/the-czech-republic-is-sending-thousands-of-artillery-shells-to-ukraine/" TargetMode="External"/><Relationship Id="rId325" Type="http://schemas.openxmlformats.org/officeDocument/2006/relationships/hyperlink" Target="https://www.regjeringen.no/en/aktuelt/norway-to-increase-support-to-ukraine-and-provide-military-equipment/id2902406/" TargetMode="External"/><Relationship Id="rId532" Type="http://schemas.openxmlformats.org/officeDocument/2006/relationships/hyperlink" Target="https://www.reuters.com/world/europe/slovakia-says-it-delivered-air-defence-anti-tank-rockets-ukraine-2022-02-28/" TargetMode="External"/><Relationship Id="rId171" Type="http://schemas.openxmlformats.org/officeDocument/2006/relationships/hyperlink" Target="https://www.exteriores.gob.es/Embajadas/washington/en/Comunicacion/Noticias/Paginas/Articulos/20220317_NEWS01.aspx" TargetMode="External"/><Relationship Id="rId837" Type="http://schemas.openxmlformats.org/officeDocument/2006/relationships/hyperlink" Target="https://twitter.com/eduardheger/status/1512386024399376389" TargetMode="External"/><Relationship Id="rId269" Type="http://schemas.openxmlformats.org/officeDocument/2006/relationships/hyperlink" Target="https://www.helsinkitimes.fi/finland/finland-news/domestic/21086-finland-commits-military-protective-equipment-to-ukraine.html" TargetMode="External"/><Relationship Id="rId476" Type="http://schemas.openxmlformats.org/officeDocument/2006/relationships/hyperlink" Target="https://tfiglobalnews.com/2022/03/21/canada-wanted-to-supply-weapons-to-ukraine-turns-out-it-didnt-have-any/" TargetMode="External"/><Relationship Id="rId683" Type="http://schemas.openxmlformats.org/officeDocument/2006/relationships/hyperlink" Target="https://www.abc.net.au/news/2022-02-27/australia-send-weapons-nato-ukraine-war-russia/100865712" TargetMode="External"/><Relationship Id="rId890" Type="http://schemas.openxmlformats.org/officeDocument/2006/relationships/hyperlink" Target="https://www.nytimes.com/2022/07/01/us/politics/himars-weapons-ukraine.html" TargetMode="External"/><Relationship Id="rId33" Type="http://schemas.openxmlformats.org/officeDocument/2006/relationships/hyperlink" Target="https://www.slobodenpecat.mk/en/bugarija-kje-isprati-humanitarna-i-voeno-logistichka-pomosh-na-ukraina/" TargetMode="External"/><Relationship Id="rId129" Type="http://schemas.openxmlformats.org/officeDocument/2006/relationships/hyperlink" Target="https://www.reuters.com/world/europe/uk-provide-6000-missiles-ukraine-new-support-2022-03-23/" TargetMode="External"/><Relationship Id="rId336" Type="http://schemas.openxmlformats.org/officeDocument/2006/relationships/hyperlink" Target="https://www.mfat.govt.nz/en/countries-and-regions/europe/ukraine/russian-invasion-of-ukraine/" TargetMode="External"/><Relationship Id="rId543" Type="http://schemas.openxmlformats.org/officeDocument/2006/relationships/hyperlink" Target="https://www.bbc.com/news/world-europe-61482305" TargetMode="External"/><Relationship Id="rId182" Type="http://schemas.openxmlformats.org/officeDocument/2006/relationships/hyperlink" Target="https://www.gov.si/en/news/2022-02-26-humanitarian-contribution-of-the-republic-of-slovenia-to-the-people-of-ukraine/" TargetMode="External"/><Relationship Id="rId403" Type="http://schemas.openxmlformats.org/officeDocument/2006/relationships/hyperlink" Target="https://www.beehive.govt.nz/release/nz-provide-additional-deployment-support-ukraine" TargetMode="External"/><Relationship Id="rId750" Type="http://schemas.openxmlformats.org/officeDocument/2006/relationships/hyperlink" Target="https://www.regjeringen.no/en/aktuelt/first-wounded-soldiers-from-ukraine-arrive/id2918391/" TargetMode="External"/><Relationship Id="rId848" Type="http://schemas.openxmlformats.org/officeDocument/2006/relationships/hyperlink" Target="https://twitter.com/AFADTurkiye/status/1537845513671917570?s=20&amp;t=s9akAL75RoX8Zs9Cn_sKtQ" TargetMode="External"/><Relationship Id="rId487" Type="http://schemas.openxmlformats.org/officeDocument/2006/relationships/hyperlink" Target="https://www.whitehouse.gov/briefing-room/statements-releases/2022/04/21/readout-of-president-bidens-meeting-with-prime-minister-of-ukraine-denys-shmyhal/" TargetMode="External"/><Relationship Id="rId610" Type="http://schemas.openxmlformats.org/officeDocument/2006/relationships/hyperlink" Target="https://cyprus-mail.com/2022/06/03/third-humanitarian-aid-shipment-heading-to-ukraine/" TargetMode="External"/><Relationship Id="rId694" Type="http://schemas.openxmlformats.org/officeDocument/2006/relationships/hyperlink" Target="https://www.defense.gov/News/News-Stories/Article/Article/2955960/us-provided-more-than-1-billion-in-security-assistance-to-ukraine-in-past-year/" TargetMode="External"/><Relationship Id="rId708" Type="http://schemas.openxmlformats.org/officeDocument/2006/relationships/hyperlink" Target="https://www.diplomatie.gouv.fr/en/country-files/ukraine/news/article/ukraine-france-mobilizes-to-deliver-emergency-medical-aid-to-victims-of-the" TargetMode="External"/><Relationship Id="rId347" Type="http://schemas.openxmlformats.org/officeDocument/2006/relationships/hyperlink" Target="https://www.regjeringen.no/en/topics/foreign-affairs/humanitarian-efforts/neighbour_support/id2908141/" TargetMode="External"/><Relationship Id="rId44" Type="http://schemas.openxmlformats.org/officeDocument/2006/relationships/hyperlink" Target="https://www.reuters.com/world/europe/france-offer-100-mln-euros-humanitarian-aid-ukraine-2022-03-01/" TargetMode="External"/><Relationship Id="rId554" Type="http://schemas.openxmlformats.org/officeDocument/2006/relationships/hyperlink" Target="https://tvpworld.com/59620451/eu-allocates-additional-eur-500-million-to-aid-ukraine" TargetMode="External"/><Relationship Id="rId761" Type="http://schemas.openxmlformats.org/officeDocument/2006/relationships/hyperlink" Target="https://english.defensie.nl/latest/news/2022/04/06/a-look-at-the-defence-news-28-march---3-april" TargetMode="External"/><Relationship Id="rId859" Type="http://schemas.openxmlformats.org/officeDocument/2006/relationships/hyperlink" Target="https://www.dsca.mil/press-media/major-arms-sales/ukraine-non-standard-ammunition" TargetMode="External"/><Relationship Id="rId193" Type="http://schemas.openxmlformats.org/officeDocument/2006/relationships/hyperlink" Target="https://www.gov.si/en/news/2022-04-06-eu-directors-general-for-development-cooperation-on-coordination-of-assistance-for-ukraine/" TargetMode="External"/><Relationship Id="rId207" Type="http://schemas.openxmlformats.org/officeDocument/2006/relationships/hyperlink" Target="https://www.defense.gov/News/Releases/Release/Article/3007664/fact-sheet-on-us-security-assistance-for-ukraine-roll-up-as-of-april-21-2022/" TargetMode="External"/><Relationship Id="rId414" Type="http://schemas.openxmlformats.org/officeDocument/2006/relationships/hyperlink" Target="https://www.ukrinform.net/rubric-ato/3491327-canada-to-give-ukraine-over-20000-155-mm-shells.html" TargetMode="External"/><Relationship Id="rId498" Type="http://schemas.openxmlformats.org/officeDocument/2006/relationships/hyperlink" Target="https://mil.in.ua/en/news/portugal-is-preparing-to-hand-over-m113-armored-personnel-carriers-to-ukraine-media/" TargetMode="External"/><Relationship Id="rId621" Type="http://schemas.openxmlformats.org/officeDocument/2006/relationships/hyperlink" Target="https://www.rferl.org/a/czech-republic-poland-new-military-aid-ukraine/31873938.html" TargetMode="External"/><Relationship Id="rId260" Type="http://schemas.openxmlformats.org/officeDocument/2006/relationships/hyperlink" Target="https://valtioneuvosto.fi/en/-/10616/finland-sends-additional-aid-to-ukraine" TargetMode="External"/><Relationship Id="rId719" Type="http://schemas.openxmlformats.org/officeDocument/2006/relationships/hyperlink" Target="https://life.karpat.in.ua/?p=101279&amp;lang=hu" TargetMode="External"/><Relationship Id="rId55" Type="http://schemas.openxmlformats.org/officeDocument/2006/relationships/hyperlink" Target="https://www.reuters.com/markets/europe/japan-offers-ukraine-100-mln-loans-show-support-2022-02-15/" TargetMode="External"/><Relationship Id="rId120"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358" Type="http://schemas.openxmlformats.org/officeDocument/2006/relationships/hyperlink" Target="https://www.mfat.govt.nz/en/countries-and-regions/europe/ukraine/russian-invasion-of-ukraine/" TargetMode="External"/><Relationship Id="rId565" Type="http://schemas.openxmlformats.org/officeDocument/2006/relationships/hyperlink" Target="https://twitter.com/ZelenskyyUa/status/1527221083979620352" TargetMode="External"/><Relationship Id="rId772" Type="http://schemas.openxmlformats.org/officeDocument/2006/relationships/hyperlink" Target="https://www.koreatimes.co.kr/www/nation/2022/06/113_330680.html" TargetMode="External"/><Relationship Id="rId218" Type="http://schemas.openxmlformats.org/officeDocument/2006/relationships/hyperlink" Target="https://www.canada.ca/en/department-national-defence/news/2022/03/defence-minister-anand-announces-additional-military-support-to-ukraine.html" TargetMode="External"/><Relationship Id="rId425"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632" Type="http://schemas.openxmlformats.org/officeDocument/2006/relationships/hyperlink" Target="https://pmtranscripts.pmc.gov.au/release/transcript-43925" TargetMode="External"/><Relationship Id="rId271" Type="http://schemas.openxmlformats.org/officeDocument/2006/relationships/hyperlink" Target="https://delano.lu/article/luxembourg-gives-50m-in-milita" TargetMode="External"/><Relationship Id="rId66" Type="http://schemas.openxmlformats.org/officeDocument/2006/relationships/hyperlink" Target="https://www.mofa.go.jp/press/release/press4e_003098.html" TargetMode="External"/><Relationship Id="rId131" Type="http://schemas.openxmlformats.org/officeDocument/2006/relationships/hyperlink" Target="https://www.reuters.com/article/ukraine-crisis-slovakia-defence-idUSL2N2V626W" TargetMode="External"/><Relationship Id="rId369" Type="http://schemas.openxmlformats.org/officeDocument/2006/relationships/hyperlink" Target="https://twitter.com/KyivIndependent/status/1516621305608552451?ref_src=twsrc%5Etfw" TargetMode="External"/><Relationship Id="rId576" Type="http://schemas.openxmlformats.org/officeDocument/2006/relationships/hyperlink" Target="https://www.cmfmag.ca/canadian-government-sends-lethal-weapons-to-ukraine/" TargetMode="External"/><Relationship Id="rId783" Type="http://schemas.openxmlformats.org/officeDocument/2006/relationships/hyperlink" Target="https://mezha.media/en/2022/04/15/new-weapon-deliveries-from-the-czech-republic-dana-self-propelled-artillery-and-rm-70-multiple-rocket-launcher/" TargetMode="External"/><Relationship Id="rId229" Type="http://schemas.openxmlformats.org/officeDocument/2006/relationships/hyperlink" Target="https://www.worldbank.org/en/news/press-release/2022/03/07/world-bank-mobilizes-an-emergency-financing-package-of-over-700-million-for-ukraine" TargetMode="External"/><Relationship Id="rId436" Type="http://schemas.openxmlformats.org/officeDocument/2006/relationships/hyperlink" Target="https://www.youtube.com/watch?v=A1nTsblXabc" TargetMode="External"/><Relationship Id="rId643" Type="http://schemas.openxmlformats.org/officeDocument/2006/relationships/hyperlink" Target="https://www.macaubusiness.com/portugal-country-to-send-further-99-t-medical-military-equipment-to-ukraine/" TargetMode="External"/><Relationship Id="rId850" Type="http://schemas.openxmlformats.org/officeDocument/2006/relationships/hyperlink" Target="https://focustaiwan.tw/politics/202206030014" TargetMode="External"/><Relationship Id="rId77" Type="http://schemas.openxmlformats.org/officeDocument/2006/relationships/hyperlink" Target="https://twitter.com/i/status/1512804572728897539" TargetMode="External"/><Relationship Id="rId282" Type="http://schemas.openxmlformats.org/officeDocument/2006/relationships/hyperlink" Target="https://www.diplomatie.gouv.fr/en/country-files/ukraine/news/article/ukraine-conversation-between-jean-yves-le-drian-and-his-ukrainian-counterpart" TargetMode="External"/><Relationship Id="rId503" Type="http://schemas.openxmlformats.org/officeDocument/2006/relationships/hyperlink" Target="https://geopolitiki.com/italian-fh70-howitzers-ukraine-against-russians/" TargetMode="External"/><Relationship Id="rId587" Type="http://schemas.openxmlformats.org/officeDocument/2006/relationships/hyperlink" Target="https://twitter.com/visegrad24/status/1533567105110507521" TargetMode="External"/><Relationship Id="rId710" Type="http://schemas.openxmlformats.org/officeDocument/2006/relationships/hyperlink" Target="https://www.reuters.com/world/europe/france-offer-100-mln-euros-humanitarian-aid-ukraine-2022-03-01/" TargetMode="External"/><Relationship Id="rId808" Type="http://schemas.openxmlformats.org/officeDocument/2006/relationships/hyperlink" Target="https://www.tagesschau.de/inland/scholz-ukraine-militaerhilfe-101.html" TargetMode="External"/><Relationship Id="rId8" Type="http://schemas.openxmlformats.org/officeDocument/2006/relationships/hyperlink" Target="https://diplomatie.belgium.be/en/newsroom/news/2022/belgium_sends_emergency_shelter_material_ukraine_b_fast" TargetMode="External"/><Relationship Id="rId142" Type="http://schemas.openxmlformats.org/officeDocument/2006/relationships/hyperlink" Target="https://www.reuters.com/world/europe/uk-provide-6000-missiles-ukraine-new-support-2022-03-23/" TargetMode="External"/><Relationship Id="rId447" Type="http://schemas.openxmlformats.org/officeDocument/2006/relationships/hyperlink" Target="https://www.government.se/articles/2022/05/sweden-and-poland-mobilised-humanitarian-support-for-ukraine/" TargetMode="External"/><Relationship Id="rId794" Type="http://schemas.openxmlformats.org/officeDocument/2006/relationships/hyperlink" Target="https://pm.gc.ca/en/news/backgrounders/2022/06/28/additional-canadian-support-ukraine-announced-2022-g7-summit" TargetMode="External"/><Relationship Id="rId654" Type="http://schemas.openxmlformats.org/officeDocument/2006/relationships/hyperlink" Target="https://www.repubblica.it/esteri/2022/04/28/news/guerra_russia_ucraina_armi_italiane-347273567/" TargetMode="External"/><Relationship Id="rId861" Type="http://schemas.openxmlformats.org/officeDocument/2006/relationships/hyperlink" Target="https://www.vestnesis.lv/op/2022/118.11" TargetMode="External"/><Relationship Id="rId293" Type="http://schemas.openxmlformats.org/officeDocument/2006/relationships/hyperlink" Target="https://cyprus-digest.com/nikos-dendias-arrives-in-odessa-as-head-of-a-humanitarian-mission/" TargetMode="External"/><Relationship Id="rId307" Type="http://schemas.openxmlformats.org/officeDocument/2006/relationships/hyperlink" Target="https://www.gov.uk/government/speeches/poland-foreign-secretarys-statement-to-warsaw-press-conference" TargetMode="External"/><Relationship Id="rId514" Type="http://schemas.openxmlformats.org/officeDocument/2006/relationships/hyperlink" Target="https://www.tasnimnews.com/en/news/2022/05/06/2706116/finland-to-send-more-defense-aid-to-ukraine" TargetMode="External"/><Relationship Id="rId721" Type="http://schemas.openxmlformats.org/officeDocument/2006/relationships/hyperlink" Target="https://www.whitehouse.gov/briefing-room/statements-releases/2022/03/24/fact-sheet-the-biden-administration-announces-new-humanitarian-development-and-democracy-assistance-to-ukraine-and-the-surrounding-region/" TargetMode="External"/><Relationship Id="rId88" Type="http://schemas.openxmlformats.org/officeDocument/2006/relationships/hyperlink" Target="https://www.canada.ca/en/department-national-defence/news/2022/01/canada-extends-and-expands-military-and-other-support-for-the-security-of-ukraine.html" TargetMode="External"/><Relationship Id="rId153" Type="http://schemas.openxmlformats.org/officeDocument/2006/relationships/hyperlink" Target="https://www.swissinfo.ch/eng/sweden-to-send-military-aid-to-ukraine---pm-andersson/47386044" TargetMode="External"/><Relationship Id="rId360" Type="http://schemas.openxmlformats.org/officeDocument/2006/relationships/hyperlink" Target="https://www.rnz.co.nz/news/world/462443/new-zealand-pledges-2m-for-ukraine-aid" TargetMode="External"/><Relationship Id="rId598" Type="http://schemas.openxmlformats.org/officeDocument/2006/relationships/hyperlink" Target="https://www.krone.at/2724936" TargetMode="External"/><Relationship Id="rId819" Type="http://schemas.openxmlformats.org/officeDocument/2006/relationships/hyperlink" Target="https://www.wsj.com/livecoverage/russia-ukraine-latest-news-2022-04-29/card/poland-has-sent-more-than-200-tanks-to-ukraine-Krwar3DCPzHJJk4UMVh4" TargetMode="External"/><Relationship Id="rId220" Type="http://schemas.openxmlformats.org/officeDocument/2006/relationships/hyperlink" Target="https://cyprus-mail.com/2022/04/06/aid-for-ukraine-now-tops-e2-million/" TargetMode="External"/><Relationship Id="rId458" Type="http://schemas.openxmlformats.org/officeDocument/2006/relationships/hyperlink" Target="https://vm.ee/en/humanitarian-aid-ukraine" TargetMode="External"/><Relationship Id="rId665" Type="http://schemas.openxmlformats.org/officeDocument/2006/relationships/hyperlink" Target="https://twitter.com/TheEconomist/status/1506413311272886276" TargetMode="External"/><Relationship Id="rId872" Type="http://schemas.openxmlformats.org/officeDocument/2006/relationships/hyperlink" Target="https://www.19fortyfive.com/2022/04/switchblade-the-drone-giving-ukraine-a-big-edge-against-russia/" TargetMode="External"/><Relationship Id="rId15" Type="http://schemas.openxmlformats.org/officeDocument/2006/relationships/hyperlink" Target="https://www.ansa.it/sito/notizie/topnews/2022/02/27/di-maio-da-italia-110-milioni-di-euro-al-governo-di-kiev_946fac9e-f0a8-492e-9b12-7b64fefc6bac.html" TargetMode="External"/><Relationship Id="rId318" Type="http://schemas.openxmlformats.org/officeDocument/2006/relationships/hyperlink" Target="https://vm.ee/en/humanitarian-aid-ukraine" TargetMode="External"/><Relationship Id="rId525" Type="http://schemas.openxmlformats.org/officeDocument/2006/relationships/hyperlink" Target="https://news.err.ee/1608555886/estonia-s-220-million-military-aid-to-ukraine-substantially-diversified" TargetMode="External"/><Relationship Id="rId732" Type="http://schemas.openxmlformats.org/officeDocument/2006/relationships/hyperlink" Target="https://intermin.fi/en/ukraine/civilian-assistance-to-ukraine" TargetMode="External"/><Relationship Id="rId99" Type="http://schemas.openxmlformats.org/officeDocument/2006/relationships/hyperlink" Target="https://www.vlada.cz/cz/media-centrum/aktualne/vlada-petra-fialy-schvalila-dalsi-vojenskou-pomoc-bojujici-ukrajine-194603/" TargetMode="External"/><Relationship Id="rId164" Type="http://schemas.openxmlformats.org/officeDocument/2006/relationships/hyperlink" Target="https://www.aa.com.tr/en/russia-ukraine-crisis/slovakia-to-send-more-military-supplies-to-ukraine-premier-says/2518136" TargetMode="External"/><Relationship Id="rId371" Type="http://schemas.openxmlformats.org/officeDocument/2006/relationships/hyperlink" Target="https://english.alarabiya.net/News/world/2022/04/11/Zelenskyy-believes-tens-of-thousands-killed-in-Ukraine-s-Mariupol" TargetMode="External"/><Relationship Id="rId469" Type="http://schemas.openxmlformats.org/officeDocument/2006/relationships/hyperlink" Target="https://www.esteri.it/en/politica-estera-e-cooperazione-allo-sviluppo/aree_geografiche/europa/litalia-a-sostegno-dellucraina/" TargetMode="External"/><Relationship Id="rId676" Type="http://schemas.openxmlformats.org/officeDocument/2006/relationships/hyperlink" Target="https://www.reuters.com/world/europe/sweden-supply-more-military-aid-including-anti-ship-missiles-ukraine-2022-06-02/" TargetMode="External"/><Relationship Id="rId883" Type="http://schemas.openxmlformats.org/officeDocument/2006/relationships/hyperlink" Target="https://www.rferl.org/a/czech-republic-poland-new-military-aid-ukraine/31873938.html"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8" Type="http://schemas.openxmlformats.org/officeDocument/2006/relationships/hyperlink" Target="https://reliefweb.int/report/ukraine/ukraine-flash-appeal-march-may-2022-enukru" TargetMode="External"/><Relationship Id="rId13" Type="http://schemas.openxmlformats.org/officeDocument/2006/relationships/hyperlink" Target="https://www.worldbank.org/en/news/press-release/2022/03/07/world-bank-mobilizes-an-emergency-financing-package-of-over-700-million-for-ukraine" TargetMode="External"/><Relationship Id="rId18" Type="http://schemas.openxmlformats.org/officeDocument/2006/relationships/hyperlink" Target="https://www.imf.org/en/News/Articles/2022/04/08/pr22111-imf-executive-board-approves-establishment-of-a-multi-donor-administered-account-for-ukraine" TargetMode="External"/><Relationship Id="rId3" Type="http://schemas.openxmlformats.org/officeDocument/2006/relationships/hyperlink" Target="https://www.imf.org/en/News/Articles/2022/03/17/pr2280-joint-statement-heads-ifis-programs-ukraine-neighboring-countries" TargetMode="External"/><Relationship Id="rId21" Type="http://schemas.openxmlformats.org/officeDocument/2006/relationships/hyperlink" Target="https://www.bloomberg.com/news/articles/2022-04-08/imf-creates-new-account-to-help-ukraine-as-canada-pledges-funds" TargetMode="External"/><Relationship Id="rId7" Type="http://schemas.openxmlformats.org/officeDocument/2006/relationships/hyperlink" Target="https://reliefweb.int/report/ukraine/ukraine-flash-appeal-march-may-2022-enukru" TargetMode="External"/><Relationship Id="rId12" Type="http://schemas.openxmlformats.org/officeDocument/2006/relationships/hyperlink" Target="https://www.worldbank.org/en/news/press-release/2022/03/07/world-bank-mobilizes-an-emergency-financing-package-of-over-700-million-for-ukraine" TargetMode="External"/><Relationship Id="rId17" Type="http://schemas.openxmlformats.org/officeDocument/2006/relationships/hyperlink" Target="https://www.reuters.com/business/world-bank-says-it-is-preparing-15-billion-aid-package-ukraine-2022-04-12/" TargetMode="External"/><Relationship Id="rId2" Type="http://schemas.openxmlformats.org/officeDocument/2006/relationships/hyperlink" Target="https://www.worldbank.org/en/news/statement/2022/03/17/joint-statement-of-heads-of-international-financial-institutions-with-programs-in-ukraine-and-neighboring-countries" TargetMode="External"/><Relationship Id="rId16" Type="http://schemas.openxmlformats.org/officeDocument/2006/relationships/hyperlink" Target="https://www.worldbank.org/en/news/press-release/2022/03/14/world-bank-announces-additional-200-million-in-financing-for-ukraine" TargetMode="External"/><Relationship Id="rId20" Type="http://schemas.openxmlformats.org/officeDocument/2006/relationships/hyperlink" Target="https://www.worldbank.org/en/news/press-release/2022/06/07/-world-bank-announces-additional-1-49-billion-financing-support-for-ukraine" TargetMode="External"/><Relationship Id="rId1" Type="http://schemas.openxmlformats.org/officeDocument/2006/relationships/hyperlink" Target="https://www.ebrd.com/news/2022/ebrd-unveils-2-billion-resilience-package-in-response-to-the-war-on-ukraine-.html" TargetMode="External"/><Relationship Id="rId6" Type="http://schemas.openxmlformats.org/officeDocument/2006/relationships/hyperlink" Target="https://reliefweb.int/report/ukraine/ukraine-flash-appeal-march-may-2022-enukru" TargetMode="External"/><Relationship Id="rId11" Type="http://schemas.openxmlformats.org/officeDocument/2006/relationships/hyperlink" Target="https://www.imf.org/en/News/Articles/2022/03/17/pr2280-joint-statement-heads-ifis-programs-ukraine-neighboring-countries" TargetMode="External"/><Relationship Id="rId5" Type="http://schemas.openxmlformats.org/officeDocument/2006/relationships/hyperlink" Target="https://www.icrc.org/en/document/what-about-our-action-ukraine" TargetMode="External"/><Relationship Id="rId15" Type="http://schemas.openxmlformats.org/officeDocument/2006/relationships/hyperlink" Target="https://www.theguardian.com/world/2022/apr/12/world-bank-approves-770m-ukraine-services-funds-russia" TargetMode="External"/><Relationship Id="rId10" Type="http://schemas.openxmlformats.org/officeDocument/2006/relationships/hyperlink" Target="https://www.worldbank.org/en/news/press-release/2022/03/07/world-bank-mobilizes-an-emergency-financing-package-of-over-700-million-for-ukraine" TargetMode="External"/><Relationship Id="rId19" Type="http://schemas.openxmlformats.org/officeDocument/2006/relationships/hyperlink" Target="https://www.ebrd.com/news/2022/ebrd-enhances-trade-finance-for-ukraine-.html" TargetMode="External"/><Relationship Id="rId4" Type="http://schemas.openxmlformats.org/officeDocument/2006/relationships/hyperlink" Target="https://www.imf.org/en/About/FAQ/russia-ukraine" TargetMode="External"/><Relationship Id="rId9" Type="http://schemas.openxmlformats.org/officeDocument/2006/relationships/hyperlink" Target="https://www.unocha.org/ukraine/about-uhf" TargetMode="External"/><Relationship Id="rId14" Type="http://schemas.openxmlformats.org/officeDocument/2006/relationships/hyperlink" Target="https://www.worldbank.org/en/news/press-release/2022/03/14/world-bank-announces-additional-200-million-in-financing-for-ukraine" TargetMode="External"/><Relationship Id="rId22" Type="http://schemas.openxmlformats.org/officeDocument/2006/relationships/hyperlink" Target="https://english.nv.ua/nation/canada-to-send-1-billion-canadian-dollars-to-ukraine-50232696.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ia.nikkei.com/Politics/Ukraine-war/With-drone-gift-to-Ukraine-Turkey-s-Baykar-wins-fans-and-clients" TargetMode="External"/><Relationship Id="rId3" Type="http://schemas.openxmlformats.org/officeDocument/2006/relationships/hyperlink" Target="https://balkaninsight.com/2022/06/07/we-have-done-enough-bulgaria-rejects-ukraines-plea-for-heavy-weapons/" TargetMode="External"/><Relationship Id="rId7" Type="http://schemas.openxmlformats.org/officeDocument/2006/relationships/hyperlink" Target="https://www.defensenews.com/global/europe/2022/06/08/ukraine-to-buy-polish-howitzers-as-long-war-looms-with-russia/" TargetMode="External"/><Relationship Id="rId2" Type="http://schemas.openxmlformats.org/officeDocument/2006/relationships/hyperlink" Target="https://kyivindependent.com/uncategorized/bulgaria-will-be-repairing-ukrainian-defense-equipment" TargetMode="External"/><Relationship Id="rId1" Type="http://schemas.openxmlformats.org/officeDocument/2006/relationships/hyperlink" Target="https://www.reuters.com/world/europe/bulgaria-approves-repairs-ukrainian-military-equipment-not-military-aid-2022-05-04/" TargetMode="External"/><Relationship Id="rId6" Type="http://schemas.openxmlformats.org/officeDocument/2006/relationships/hyperlink" Target="https://english.nv.ua/nation/slovakia-to-send-8-howitzers-to-ukraine-military-news-50247162.html" TargetMode="External"/><Relationship Id="rId5" Type="http://schemas.openxmlformats.org/officeDocument/2006/relationships/hyperlink" Target="https://balkaninsight.com/2022/06/07/we-have-done-enough-bulgaria-rejects-ukraines-plea-for-heavy-weapons/" TargetMode="External"/><Relationship Id="rId4" Type="http://schemas.openxmlformats.org/officeDocument/2006/relationships/hyperlink" Target="https://observatorial.com/news/world/92572/ukraine-bulgaria-undertakes-heavy-weapons-repairs/" TargetMode="External"/><Relationship Id="rId9" Type="http://schemas.openxmlformats.org/officeDocument/2006/relationships/hyperlink" Target="https://www.middleeasteye.net/news/russia-ukraine-war-tb2-bayraktar-drones-fifty-receiv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ecb.europa.eu/stats/policy_and_exchange_rates/euro_reference_exchange_rates/html/eurofxref-graph-czk.en.html" TargetMode="External"/><Relationship Id="rId13" Type="http://schemas.openxmlformats.org/officeDocument/2006/relationships/hyperlink" Target="https://www.ecb.europa.eu/stats/policy_and_exchange_rates/euro_reference_exchange_rates/html/eurofxref-graph-nzd.en.html" TargetMode="External"/><Relationship Id="rId3" Type="http://schemas.openxmlformats.org/officeDocument/2006/relationships/hyperlink" Target="https://www.ecb.europa.eu/stats/policy_and_exchange_rates/euro_reference_exchange_rates/html/eurofxref-graph-gbp.en.html" TargetMode="External"/><Relationship Id="rId7" Type="http://schemas.openxmlformats.org/officeDocument/2006/relationships/hyperlink" Target="https://www.ecb.europa.eu/stats/policy_and_exchange_rates/euro_reference_exchange_rates/html/eurofxref-graph-hrk.en.html" TargetMode="External"/><Relationship Id="rId12" Type="http://schemas.openxmlformats.org/officeDocument/2006/relationships/hyperlink" Target="https://www.ecb.europa.eu/stats/policy_and_exchange_rates/euro_reference_exchange_rates/html/eurofxref-graph-chf.en.html" TargetMode="External"/><Relationship Id="rId2" Type="http://schemas.openxmlformats.org/officeDocument/2006/relationships/hyperlink" Target="https://www.ecb.europa.eu/stats/policy_and_exchange_rates/euro_reference_exchange_rates/html/eurofxref-graph-cad.en.html" TargetMode="External"/><Relationship Id="rId16" Type="http://schemas.openxmlformats.org/officeDocument/2006/relationships/hyperlink" Target="https://sdw.ecb.europa.eu/quickview.do?SERIES_KEY=120.EXR.D.TWD.EUR.SP00.A" TargetMode="External"/><Relationship Id="rId1" Type="http://schemas.openxmlformats.org/officeDocument/2006/relationships/hyperlink" Target="https://www.ecb.europa.eu/stats/policy_and_exchange_rates/euro_reference_exchange_rates/html/eurofxref-graph-usd.en.html" TargetMode="External"/><Relationship Id="rId6" Type="http://schemas.openxmlformats.org/officeDocument/2006/relationships/hyperlink" Target="https://www.ecb.europa.eu/stats/policy_and_exchange_rates/euro_reference_exchange_rates/html/eurofxref-graph-sek.en.html" TargetMode="External"/><Relationship Id="rId11" Type="http://schemas.openxmlformats.org/officeDocument/2006/relationships/hyperlink" Target="https://www.ecb.europa.eu/stats/policy_and_exchange_rates/euro_reference_exchange_rates/html/eurofxref-graph-nok.en.html" TargetMode="External"/><Relationship Id="rId5" Type="http://schemas.openxmlformats.org/officeDocument/2006/relationships/hyperlink" Target="https://www.ecb.europa.eu/stats/policy_and_exchange_rates/euro_reference_exchange_rates/html/eurofxref-graph-ron.en.html" TargetMode="External"/><Relationship Id="rId15" Type="http://schemas.openxmlformats.org/officeDocument/2006/relationships/hyperlink" Target="https://www.ecb.europa.eu/stats/policy_and_exchange_rates/euro_reference_exchange_rates/html/eurofxref-graph-cny.en.html" TargetMode="External"/><Relationship Id="rId10" Type="http://schemas.openxmlformats.org/officeDocument/2006/relationships/hyperlink" Target="https://www.ecb.europa.eu/stats/policy_and_exchange_rates/euro_reference_exchange_rates/html/eurofxref-graph-aud.en.html" TargetMode="External"/><Relationship Id="rId4" Type="http://schemas.openxmlformats.org/officeDocument/2006/relationships/hyperlink" Target="https://www.ecb.europa.eu/stats/policy_and_exchange_rates/euro_reference_exchange_rates/html/eurofxref-graph-pln.en.html" TargetMode="External"/><Relationship Id="rId9" Type="http://schemas.openxmlformats.org/officeDocument/2006/relationships/hyperlink" Target="https://www.ecb.europa.eu/stats/policy_and_exchange_rates/euro_reference_exchange_rates/html/eurofxref-graph-dkk.en.html" TargetMode="External"/><Relationship Id="rId14" Type="http://schemas.openxmlformats.org/officeDocument/2006/relationships/hyperlink" Target="https://www.ecb.europa.eu/stats/policy_and_exchange_rates/euro_reference_exchange_rates/html/eurofxref-graph-huf.en.html"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spectator.sme.sk/c/22895899/slovakia-donates-military-equipment-to-ukraine.html" TargetMode="External"/><Relationship Id="rId21" Type="http://schemas.openxmlformats.org/officeDocument/2006/relationships/hyperlink" Target="https://www.amazon.de/s?k=surgical+mask&amp;__mk_de_DE=%C3%85M%C3%85%C5%BD%C3%95%C3%91&amp;crid=8PY7HKLQUCEM&amp;sprefix=surgical+mask%2Caps%2C106&amp;ref=nb_sb_noss" TargetMode="External"/><Relationship Id="rId63" Type="http://schemas.openxmlformats.org/officeDocument/2006/relationships/hyperlink" Target="https://www.pmulcahy.com/explosives/explosives.html" TargetMode="External"/><Relationship Id="rId159" Type="http://schemas.openxmlformats.org/officeDocument/2006/relationships/hyperlink" Target="https://weaponsystems.net/system/475-Barrett+M82" TargetMode="External"/><Relationship Id="rId170" Type="http://schemas.openxmlformats.org/officeDocument/2006/relationships/hyperlink" Target="https://www.amazon.com/-/de/dp/B087LXWY99/ref=sr_1_5?keywords=nitrile+gloves&amp;qid=1654676678&amp;sr=8-5" TargetMode="External"/><Relationship Id="rId226" Type="http://schemas.openxmlformats.org/officeDocument/2006/relationships/hyperlink" Target="https://www.ammograb.com/762x51mm-nato/" TargetMode="External"/><Relationship Id="rId107" Type="http://schemas.openxmlformats.org/officeDocument/2006/relationships/hyperlink" Target="https://www.military-today.com/artillery/m777.htm" TargetMode="External"/><Relationship Id="rId11" Type="http://schemas.openxmlformats.org/officeDocument/2006/relationships/hyperlink" Target="https://en.wikipedia.org/wiki/Meal,_Ready-to-Eat" TargetMode="External"/><Relationship Id="rId32" Type="http://schemas.openxmlformats.org/officeDocument/2006/relationships/hyperlink" Target="https://web.archive.org/web/20110723004716/http:/www.airtronic.net/documents/Delivery_Order.pdf" TargetMode="External"/><Relationship Id="rId53" Type="http://schemas.openxmlformats.org/officeDocument/2006/relationships/hyperlink" Target="https://www.bulkammo.com/rifle/bulk-7.62x39mm-ammo" TargetMode="External"/><Relationship Id="rId74" Type="http://schemas.openxmlformats.org/officeDocument/2006/relationships/hyperlink" Target="https://www.military-today.com/artillery/m777.htm" TargetMode="External"/><Relationship Id="rId128" Type="http://schemas.openxmlformats.org/officeDocument/2006/relationships/hyperlink" Target="https://colemans.com/u-s-g-i-modular-field-kitchen" TargetMode="External"/><Relationship Id="rId149" Type="http://schemas.openxmlformats.org/officeDocument/2006/relationships/hyperlink" Target="http://www.army-guide.com/eng/product1033.html" TargetMode="External"/><Relationship Id="rId5" Type="http://schemas.openxmlformats.org/officeDocument/2006/relationships/hyperlink" Target="https://military-history.fandom.com/wiki/Carl_Gustaf_recoilless_rifle" TargetMode="External"/><Relationship Id="rId95" Type="http://schemas.openxmlformats.org/officeDocument/2006/relationships/hyperlink" Target="https://en.wikipedia.org/wiki/Advanced_Precision_Kill_Weapon_System" TargetMode="External"/><Relationship Id="rId160" Type="http://schemas.openxmlformats.org/officeDocument/2006/relationships/hyperlink" Target="https://man.fas.org/dod-101/sys/land/m270.htm" TargetMode="External"/><Relationship Id="rId181" Type="http://schemas.openxmlformats.org/officeDocument/2006/relationships/hyperlink" Target="https://www.defensenews.com/land/2016/12/21/poland-awards-220m-short-range-air-defense-deal/" TargetMode="External"/><Relationship Id="rId216" Type="http://schemas.openxmlformats.org/officeDocument/2006/relationships/hyperlink" Target="https://en.wikipedia.org/wiki/Meal,_Ready-to-Eat" TargetMode="External"/><Relationship Id="rId237" Type="http://schemas.openxmlformats.org/officeDocument/2006/relationships/hyperlink" Target="http://www.military-today.com/artillery/fh_70.htm" TargetMode="External"/><Relationship Id="rId258" Type="http://schemas.openxmlformats.org/officeDocument/2006/relationships/hyperlink" Target="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 TargetMode="External"/><Relationship Id="rId22" Type="http://schemas.openxmlformats.org/officeDocument/2006/relationships/hyperlink" Target="https://www.amazon.de/disinfectant-spray/s?k=disinfectant+spray" TargetMode="External"/><Relationship Id="rId43" Type="http://schemas.openxmlformats.org/officeDocument/2006/relationships/hyperlink" Target="https://en.wikipedia.org/wiki/M240_machine_gun" TargetMode="External"/><Relationship Id="rId64" Type="http://schemas.openxmlformats.org/officeDocument/2006/relationships/hyperlink" Target="https://www.ebay.de/itm/261421940408" TargetMode="External"/><Relationship Id="rId118" Type="http://schemas.openxmlformats.org/officeDocument/2006/relationships/hyperlink" Target="https://www.amazon.com/Camouflage-Vest/s?k=Camouflage+Vest&amp;page=3" TargetMode="External"/><Relationship Id="rId139" Type="http://schemas.openxmlformats.org/officeDocument/2006/relationships/hyperlink" Target="https://findanyanswer.com/how-much-does-it-cost-to-shoot-a-javelin" TargetMode="External"/><Relationship Id="rId85" Type="http://schemas.openxmlformats.org/officeDocument/2006/relationships/hyperlink" Target="https://military-history.fandom.com/wiki/FGM-148_Javelin" TargetMode="External"/><Relationship Id="rId150" Type="http://schemas.openxmlformats.org/officeDocument/2006/relationships/hyperlink" Target="https://tvpworld.com/37474331/polish-army-to-receive-100-drones-in-2018" TargetMode="External"/><Relationship Id="rId171" Type="http://schemas.openxmlformats.org/officeDocument/2006/relationships/hyperlink" Targe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TargetMode="External"/><Relationship Id="rId192" Type="http://schemas.openxmlformats.org/officeDocument/2006/relationships/hyperlink" Target="https://www.amazon.de/-/en/Paracetamol-ratiopharm-500-Tablets-Pack-20/dp/B00DIW2WMQ" TargetMode="External"/><Relationship Id="rId206" Type="http://schemas.openxmlformats.org/officeDocument/2006/relationships/hyperlink" Target="https://en.wikipedia.org/wiki/Agile-class_minesweeper" TargetMode="External"/><Relationship Id="rId227" Type="http://schemas.openxmlformats.org/officeDocument/2006/relationships/hyperlink" Target="https://www.ammograb.com/762x51mm-nato/" TargetMode="External"/><Relationship Id="rId248" Type="http://schemas.openxmlformats.org/officeDocument/2006/relationships/hyperlink" Target="https://www.amazon.com/-/de/dp/B07SMXN8PR/ref=zg_bs_3413661_2/139-2167500-7694641?pd_rd_i=B09VBX2J8P&amp;th=1" TargetMode="External"/><Relationship Id="rId12" Type="http://schemas.openxmlformats.org/officeDocument/2006/relationships/hyperlink" Target="https://en.wikipedia.org/wiki/RK_62" TargetMode="External"/><Relationship Id="rId33" Type="http://schemas.openxmlformats.org/officeDocument/2006/relationships/hyperlink" Target="https://www.militarytimes.com/off-duty/gearscout/2012/04/21/u-s-army-places-order-for-24000-m4a1-carbines-with-remington/" TargetMode="External"/><Relationship Id="rId108" Type="http://schemas.openxmlformats.org/officeDocument/2006/relationships/hyperlink" Target="https://www.newdelhitimes.com/portuguese-army-acquires-vamtac/" TargetMode="External"/><Relationship Id="rId129" Type="http://schemas.openxmlformats.org/officeDocument/2006/relationships/hyperlink" Target="https://en.wikipedia.org/wiki/AS-90" TargetMode="External"/><Relationship Id="rId54" Type="http://schemas.openxmlformats.org/officeDocument/2006/relationships/hyperlink" Target="https://en.wikipedia.org/wiki/M72_LAW" TargetMode="External"/><Relationship Id="rId75" Type="http://schemas.openxmlformats.org/officeDocument/2006/relationships/hyperlink" Target="https://www.waffenschumacher.com/wp-content/uploads/2017/10/VISIER_CSA_Czech-Small-Arms-Sa-vz.58-11-2013.pdf" TargetMode="External"/><Relationship Id="rId96" Type="http://schemas.openxmlformats.org/officeDocument/2006/relationships/hyperlink" Target="https://en.wikipedia.org/wiki/NLAW" TargetMode="External"/><Relationship Id="rId140" Type="http://schemas.openxmlformats.org/officeDocument/2006/relationships/hyperlink" Target="https://www.alibaba.com/product-detail/Military-gpnvg-18-night-vision-ground_1600472858853.html?spm=a2700.7724857.topad_classic.d_title.45f95712no9lkc" TargetMode="External"/><Relationship Id="rId161" Type="http://schemas.openxmlformats.org/officeDocument/2006/relationships/hyperlink" Target="https://www.frazerbilt.com/blog-ambulance-cost/" TargetMode="External"/><Relationship Id="rId182" Type="http://schemas.openxmlformats.org/officeDocument/2006/relationships/hyperlink" Target="https://de.wikipedia.org/wiki/Phoenix_Ghost" TargetMode="External"/><Relationship Id="rId217" Type="http://schemas.openxmlformats.org/officeDocument/2006/relationships/hyperlink" Target="https://en.wikipedia.org/wiki/Meal,_Ready-to-Eat" TargetMode="External"/><Relationship Id="rId6" Type="http://schemas.openxmlformats.org/officeDocument/2006/relationships/hyperlink" Target="https://en.wikipedia.org/wiki/M67_grenade" TargetMode="External"/><Relationship Id="rId238" Type="http://schemas.openxmlformats.org/officeDocument/2006/relationships/hyperlink" Target="https://aerocorner.com/aircraft/kazan-mi-17-ii/" TargetMode="External"/><Relationship Id="rId259" Type="http://schemas.openxmlformats.org/officeDocument/2006/relationships/hyperlink" Target="https://www.extension.iastate.edu/agdm/crops/html/a1-65.html" TargetMode="External"/><Relationship Id="rId23" Type="http://schemas.openxmlformats.org/officeDocument/2006/relationships/hyperlink" Target="https://www.amazon.com/s?k=bio+protective+suit&amp;__mk_de_DE=%C3%85M%C3%85%C5%BD%C3%95%C3%91&amp;crid=2MJA43R80NRVA&amp;sprefix=bio+protective+suit%2Caps%2C215&amp;ref=nb_sb_noss_1" TargetMode="External"/><Relationship Id="rId119" Type="http://schemas.openxmlformats.org/officeDocument/2006/relationships/hyperlink" Target="https://www.freshbooks.com/hub/estimates/how-much-does-it-cost-to-build-a-hospital" TargetMode="External"/><Relationship Id="rId44" Type="http://schemas.openxmlformats.org/officeDocument/2006/relationships/hyperlink" Target="https://www.bw-online-shop.com/outdoor/outdoorkueche/verpflegung/epa-einmannpackung-typ-2.html" TargetMode="External"/><Relationship Id="rId65" Type="http://schemas.openxmlformats.org/officeDocument/2006/relationships/hyperlink" Target="https://sprengtechnik.de/zerstoerung-von-festplatten-durch-sprengung/" TargetMode="External"/><Relationship Id="rId86" Type="http://schemas.openxmlformats.org/officeDocument/2006/relationships/hyperlink" Target="https://de.wikipedia.org/wiki/High_Mobility_Multipurpose_Wheeled_Vehicle" TargetMode="External"/><Relationship Id="rId130" Type="http://schemas.openxmlformats.org/officeDocument/2006/relationships/hyperlink" Target="https://www.defensenews.com/land/2016/12/15/poland-orders-howitzers-in-1-1b-artillery-deal/" TargetMode="External"/><Relationship Id="rId151" Type="http://schemas.openxmlformats.org/officeDocument/2006/relationships/hyperlink" Target="https://en.wikipedia.org/wiki/M142_HIMARS" TargetMode="External"/><Relationship Id="rId172" Type="http://schemas.openxmlformats.org/officeDocument/2006/relationships/hyperlink" Target="https://military-history.fandom.com/wiki/Brimstone_(missile)" TargetMode="External"/><Relationship Id="rId193" Type="http://schemas.openxmlformats.org/officeDocument/2006/relationships/hyperlink" Target="https://www.amazon.com/Rubber-Boots/s?k=Rubber+Boots" TargetMode="External"/><Relationship Id="rId207" Type="http://schemas.openxmlformats.org/officeDocument/2006/relationships/hyperlink" Target="https://www.fs.fed.us/eng/pubs/html/98241307/98241307.html" TargetMode="External"/><Relationship Id="rId228" Type="http://schemas.openxmlformats.org/officeDocument/2006/relationships/hyperlink" Target="https://www.amazon.com/Band-Aid-Adhesive-Bandage-Bandages-Assorted/dp/B001AJS1AQ" TargetMode="External"/><Relationship Id="rId249" Type="http://schemas.openxmlformats.org/officeDocument/2006/relationships/hyperlink" Target="https://www.blautanken.de/adblue-1000-liter-ibc-container-oem/?gclid=Cj0KCQjwntCVBhDdARIsAMEwACk5CvzjsjtbIjYyd1fpO0rAogqNfK3hzDAmmqo_rS87d6nKm3Th7ZsaAhrLEALw_wcB" TargetMode="External"/><Relationship Id="rId13" Type="http://schemas.openxmlformats.org/officeDocument/2006/relationships/hyperlink" Target="https://en.wikipedia.org/wiki/Comparison_of_the_AK-47_and_M16" TargetMode="External"/><Relationship Id="rId109" Type="http://schemas.openxmlformats.org/officeDocument/2006/relationships/hyperlink" Target="https://de.wikipedia.org/wiki/9_%C3%97_19_mm" TargetMode="External"/><Relationship Id="rId260" Type="http://schemas.openxmlformats.org/officeDocument/2006/relationships/hyperlink" Target="https://www.luckygunner.com/rifle/5.56x45-ammo" TargetMode="External"/><Relationship Id="rId34" Type="http://schemas.openxmlformats.org/officeDocument/2006/relationships/hyperlink" Target="https://www.amazon.de/s?k=medical+gloves+non+sterile&amp;crid=27Q1FWQ28L6PP&amp;sprefix=non-steri%2Caps%2C103&amp;ref=nb_sb_ss_ts-doa-p_1_9" TargetMode="External"/><Relationship Id="rId55" Type="http://schemas.openxmlformats.org/officeDocument/2006/relationships/hyperlink" Target="https://military-history.fandom.com/wiki/Panzerfaust_3" TargetMode="External"/><Relationship Id="rId76" Type="http://schemas.openxmlformats.org/officeDocument/2006/relationships/hyperlink" Target="https://truegunvalue.com/rifle/dragunov/price-historical-value" TargetMode="External"/><Relationship Id="rId97" Type="http://schemas.openxmlformats.org/officeDocument/2006/relationships/hyperlink" Target="http://www.military-today.com/apc/m113a3.htm" TargetMode="External"/><Relationship Id="rId120" Type="http://schemas.openxmlformats.org/officeDocument/2006/relationships/hyperlink" Target="http://www.military-today.com/aircraft/bayraktar_tb2.htm" TargetMode="External"/><Relationship Id="rId141" Type="http://schemas.openxmlformats.org/officeDocument/2006/relationships/hyperlink" Target="https://www.army-technology.com/projects/mistral-missile/" TargetMode="External"/><Relationship Id="rId7" Type="http://schemas.openxmlformats.org/officeDocument/2006/relationships/hyperlink" Target="https://en.wikipedia.org/wiki/M72_LAW" TargetMode="External"/><Relationship Id="rId162" Type="http://schemas.openxmlformats.org/officeDocument/2006/relationships/hyperlink" Target="https://www.globalpetrolprices.com/diesel_prices/" TargetMode="External"/><Relationship Id="rId183" Type="http://schemas.openxmlformats.org/officeDocument/2006/relationships/hyperlink" Target="https://mezha.media/en/2022/04/02/together-with-switchblades-drones-the-u-s-will-provide-ukraine-with-the-rq-20-puma-unmanned-aerial-vehicles/" TargetMode="External"/><Relationship Id="rId218" Type="http://schemas.openxmlformats.org/officeDocument/2006/relationships/hyperlink" Target="https://www.mymat.de/preise-und-formate-fussmatten" TargetMode="External"/><Relationship Id="rId239" Type="http://schemas.openxmlformats.org/officeDocument/2006/relationships/hyperlink" Target="https://www.jpost.com/opinion/op-ed-contributors/bankrupting-terrorism-one-interception-at-a-time" TargetMode="External"/><Relationship Id="rId250" Type="http://schemas.openxmlformats.org/officeDocument/2006/relationships/hyperlink" Target="https://www.cbc.ca/news/canada/fire-artillery-shells-go-into-service-at-150-000-a-shot-1.756889" TargetMode="External"/><Relationship Id="rId24" Type="http://schemas.openxmlformats.org/officeDocument/2006/relationships/hyperlink" Target="https://www.theguardian.com/world/2022/mar/23/uk-doubles-number-of-missiles-sent-to-ukraine-ahead-of-nato-summit" TargetMode="External"/><Relationship Id="rId45" Type="http://schemas.openxmlformats.org/officeDocument/2006/relationships/hyperlink" Target="https://military-history.fandom.com/wiki/Panzerfaust_3" TargetMode="External"/><Relationship Id="rId66" Type="http://schemas.openxmlformats.org/officeDocument/2006/relationships/hyperlink" Target="https://www.amazon.com/Best-Sellers-Medical-Safety-Goggles/zgbs/industrial/11312320011" TargetMode="External"/><Relationship Id="rId87" Type="http://schemas.openxmlformats.org/officeDocument/2006/relationships/hyperlink" Target="https://www.armormax.com/blog/how-much-does-a-bulletproof-car-cost/" TargetMode="External"/><Relationship Id="rId110" Type="http://schemas.openxmlformats.org/officeDocument/2006/relationships/hyperlink" Target="https://military-today.com/artillery/dana.htm" TargetMode="External"/><Relationship Id="rId131" Type="http://schemas.openxmlformats.org/officeDocument/2006/relationships/hyperlink" Target="https://www.military-today.com/artillery/m777.htm" TargetMode="External"/><Relationship Id="rId152" Type="http://schemas.openxmlformats.org/officeDocument/2006/relationships/hyperlink" Target="https://www.thedrive.com/the-war-zone/ukraine-to-get-guided-rockets-but-not-ones-able-to-reach-far-into-russia" TargetMode="External"/><Relationship Id="rId173" Type="http://schemas.openxmlformats.org/officeDocument/2006/relationships/hyperlink" Target="https://www.defenseindustrydaily.com/have-guns-will-upgrade-the-m109a6-paladin-pim-partnership-04039/" TargetMode="External"/><Relationship Id="rId194" Type="http://schemas.openxmlformats.org/officeDocument/2006/relationships/hyperlink" Target="https://buygloves.com/types-of-disposable-gloves-and-how-much-they-cost/" TargetMode="External"/><Relationship Id="rId208" Type="http://schemas.openxmlformats.org/officeDocument/2006/relationships/hyperlink" Target="https://en.wikipedia.org/wiki/M72_LAW" TargetMode="External"/><Relationship Id="rId229" Type="http://schemas.openxmlformats.org/officeDocument/2006/relationships/hyperlink" Target="https://www.amazon.com/Disposable-Latex-Gloves-Powder-gloves/dp/B000XRY2FE" TargetMode="External"/><Relationship Id="rId240" Type="http://schemas.openxmlformats.org/officeDocument/2006/relationships/hyperlink" Target="https://www.restposten.de/p/sportartikel-gemischt-15418211.html?queryString=paletten%20kleidung" TargetMode="External"/><Relationship Id="rId261" Type="http://schemas.openxmlformats.org/officeDocument/2006/relationships/hyperlink" Target="https://www.czdefence.com/article/new-self-propelled-howitzers-for-acr-what-would-be-the-cheapest" TargetMode="External"/><Relationship Id="rId14" Type="http://schemas.openxmlformats.org/officeDocument/2006/relationships/hyperlink" Target="https://hcpresources.medtronic.com/blog/high-acuity-ventilator-cost-guide" TargetMode="External"/><Relationship Id="rId35" Type="http://schemas.openxmlformats.org/officeDocument/2006/relationships/hyperlink" Target="https://truegunvalue.com/pistol/sig-p228/price-historical-value/new/2" TargetMode="External"/><Relationship Id="rId56" Type="http://schemas.openxmlformats.org/officeDocument/2006/relationships/hyperlink" Target="https://www.luckygunner.com/rifle/5.56x45-ammo" TargetMode="External"/><Relationship Id="rId77" Type="http://schemas.openxmlformats.org/officeDocument/2006/relationships/hyperlink" Target="https://www.rockislandauction.com/detail/1039/2976/czech-uk-vz-59-semiautomatic-rifle" TargetMode="External"/><Relationship Id="rId100" Type="http://schemas.openxmlformats.org/officeDocument/2006/relationships/hyperlink" Target="https://en.wikipedia.org/wiki/FIM-92_Stinger" TargetMode="External"/><Relationship Id="rId8" Type="http://schemas.openxmlformats.org/officeDocument/2006/relationships/hyperlink" Target="https://janetpanic.com/how-much-does-an-advanced-combat-helmet-cost/" TargetMode="External"/><Relationship Id="rId98" Type="http://schemas.openxmlformats.org/officeDocument/2006/relationships/hyperlink" Target="https://en.wikipedia.org/wiki/Mil_Mi-17" TargetMode="External"/><Relationship Id="rId121" Type="http://schemas.openxmlformats.org/officeDocument/2006/relationships/hyperlink" Target="https://www.merkur.de/wirtschaft/gepard-panzer-waffenlieferungen-technik-ausstattung-bundeswehr-krauss-maffei-wegmann-kmw-muenchen-91502398.html" TargetMode="External"/><Relationship Id="rId142" Type="http://schemas.openxmlformats.org/officeDocument/2006/relationships/hyperlink" Target="https://www.inetres.com/gp/military/infantry/mortar/60mm.html" TargetMode="External"/><Relationship Id="rId163" Type="http://schemas.openxmlformats.org/officeDocument/2006/relationships/hyperlink" Target="https://www.globalpetrolprices.com/gasoline_prices/" TargetMode="External"/><Relationship Id="rId184" Type="http://schemas.openxmlformats.org/officeDocument/2006/relationships/hyperlink" Target="https://military-history.fandom.com/wiki/Panzerfaust_3" TargetMode="External"/><Relationship Id="rId219" Type="http://schemas.openxmlformats.org/officeDocument/2006/relationships/hyperlink" Target="https://a5250379796602ad.en.made-in-china.com/product/oSpQOGHuhFYR/China-Portable-Ground-Surveillance-Radar-for-Border-Surveillance.html" TargetMode="External"/><Relationship Id="rId230" Type="http://schemas.openxmlformats.org/officeDocument/2006/relationships/hyperlink" Target="https://www.amazon.com/MedPride-Powder-Free-Nitrile-Gloves-Medium/dp/B00GS8W3T4" TargetMode="External"/><Relationship Id="rId251" Type="http://schemas.openxmlformats.org/officeDocument/2006/relationships/hyperlink" Target="https://www.cbc.ca/news/canada/fire-artillery-shells-go-into-service-at-150-000-a-shot-1.756889" TargetMode="External"/><Relationship Id="rId25" Type="http://schemas.openxmlformats.org/officeDocument/2006/relationships/hyperlink" Target="https://programs.fas.org/ssp/asmp/issueareas/manpads/black_market_prices.pdf" TargetMode="External"/><Relationship Id="rId46" Type="http://schemas.openxmlformats.org/officeDocument/2006/relationships/hyperlink" Target="https://www.221btactical.com/blogs/news/how-much-does-a-bulletproof-vest-cost" TargetMode="External"/><Relationship Id="rId67" Type="http://schemas.openxmlformats.org/officeDocument/2006/relationships/hyperlink" Target="https://www.forbes.com/advisor/home-improvement/generator-cost-guide/" TargetMode="External"/><Relationship Id="rId88" Type="http://schemas.openxmlformats.org/officeDocument/2006/relationships/hyperlink" Target="https://webcache.googleusercontent.com/search?q=cache:szR8kKdmzDEJ:https://www.serdp-estcp.org/content/download/52898/520812/file/WP-201508%2520Final%2520Report.pdf+&amp;cd=2&amp;hl=de&amp;ct=clnk&amp;gl=de" TargetMode="External"/><Relationship Id="rId111" Type="http://schemas.openxmlformats.org/officeDocument/2006/relationships/hyperlink" Target="https://www.weaponsystems.net/system/467-DD05%20-%20MLRS" TargetMode="External"/><Relationship Id="rId132" Type="http://schemas.openxmlformats.org/officeDocument/2006/relationships/hyperlink" Target="https://en.wikipedia.org/wiki/Cougar_(MRAP" TargetMode="External"/><Relationship Id="rId153" Type="http://schemas.openxmlformats.org/officeDocument/2006/relationships/hyperlink" Target="https://www.businessinsider.com/armored-car-inkas-sentry-civilian-bulletproof-suv-military-price-2020-9" TargetMode="External"/><Relationship Id="rId174" Type="http://schemas.openxmlformats.org/officeDocument/2006/relationships/hyperlink" Target="https://www.sps-aviation.com/story/?id=649" TargetMode="External"/><Relationship Id="rId195" Type="http://schemas.openxmlformats.org/officeDocument/2006/relationships/hyperlink" Target="https://www.amazon.com/Radios-Portable-Audio-Video/b?ie=UTF8&amp;node=172681" TargetMode="External"/><Relationship Id="rId209" Type="http://schemas.openxmlformats.org/officeDocument/2006/relationships/hyperlink" Target="https://en.wikipedia.org/wiki/Carl_Gustaf_8.4_cm_recoilless_rifle" TargetMode="External"/><Relationship Id="rId220" Type="http://schemas.openxmlformats.org/officeDocument/2006/relationships/hyperlink" Target="https://www.221btactical.com/blogs/news/how-much-does-a-bulletproof-vest-cost" TargetMode="External"/><Relationship Id="rId241" Type="http://schemas.openxmlformats.org/officeDocument/2006/relationships/hyperlink" Target="https://www.alibaba.com/product-detail/Medical-Light-CRI-98-LED-Operating_1600478209812.html?spm=a2700.7724857.topad_classic.d_title.4604b2a6oD3NuM" TargetMode="External"/><Relationship Id="rId15" Type="http://schemas.openxmlformats.org/officeDocument/2006/relationships/hyperlink" Target="https://www.aerzte-ohne-grenzen.de/sites/default/files/mediathek/entity/document/1998-01-bosnia-report-donation-practices.pdf" TargetMode="External"/><Relationship Id="rId36" Type="http://schemas.openxmlformats.org/officeDocument/2006/relationships/hyperlink" Target="https://en.wikipedia.org/wiki/M240_machine_gun" TargetMode="External"/><Relationship Id="rId57" Type="http://schemas.openxmlformats.org/officeDocument/2006/relationships/hyperlink" Target="https://en.wikipedia.org/wiki/Meal,_Ready-to-Eat" TargetMode="External"/><Relationship Id="rId262" Type="http://schemas.openxmlformats.org/officeDocument/2006/relationships/hyperlink" Target="https://mortarinvestments.eu/catalog/item/bmp-type-vehicles" TargetMode="External"/><Relationship Id="rId78" Type="http://schemas.openxmlformats.org/officeDocument/2006/relationships/hyperlink" Target="https://www.guncritic.com/product/cz-vz-61-scorpion-32acp-blue/" TargetMode="External"/><Relationship Id="rId99" Type="http://schemas.openxmlformats.org/officeDocument/2006/relationships/hyperlink" Target="https://www.therange702.com/blog/can-you-legally-own-a-machine-gun/" TargetMode="External"/><Relationship Id="rId101" Type="http://schemas.openxmlformats.org/officeDocument/2006/relationships/hyperlink" Target="http://www.military-today.com/firearms/top_10_sniper_rifles.htm" TargetMode="External"/><Relationship Id="rId122" Type="http://schemas.openxmlformats.org/officeDocument/2006/relationships/hyperlink" Target="https://www.peterdutton.com.au/australia-to-provide-armoured-personnel-carriers-and-more-bushmasters-to-ukraine/" TargetMode="External"/><Relationship Id="rId143" Type="http://schemas.openxmlformats.org/officeDocument/2006/relationships/hyperlink" Target="https://spectator.sme.sk/c/22842829/slovakia-will-send-mine-clearance-systems-and-healthcare-material-to-ukraine.html" TargetMode="External"/><Relationship Id="rId164" Type="http://schemas.openxmlformats.org/officeDocument/2006/relationships/hyperlink" Target="https://www.bw-online-shop.com/outdoor/outdoorkueche/verpflegung/epa-einmannpackung-typ-2.html" TargetMode="External"/><Relationship Id="rId185" Type="http://schemas.openxmlformats.org/officeDocument/2006/relationships/hyperlink" Target="https://en.wikipedia.org/wiki/Starstreak" TargetMode="External"/><Relationship Id="rId9" Type="http://schemas.openxmlformats.org/officeDocument/2006/relationships/hyperlink" Target="https://www.globalpetrolprices.com/gasoline_prices/" TargetMode="External"/><Relationship Id="rId210" Type="http://schemas.openxmlformats.org/officeDocument/2006/relationships/hyperlink" Target="https://en.wikipedia.org/wiki/FIM-92_Stinger" TargetMode="External"/><Relationship Id="rId26" Type="http://schemas.openxmlformats.org/officeDocument/2006/relationships/hyperlink" Target="http://www.military-today.com/firearms/mg3.htm" TargetMode="External"/><Relationship Id="rId231" Type="http://schemas.openxmlformats.org/officeDocument/2006/relationships/hyperlink" Target="https://www.ammograb.com/762x51mm-nato/" TargetMode="External"/><Relationship Id="rId252" Type="http://schemas.openxmlformats.org/officeDocument/2006/relationships/hyperlink" Target="https://www.ammograb.com/762x51mm-nato/" TargetMode="External"/><Relationship Id="rId47" Type="http://schemas.openxmlformats.org/officeDocument/2006/relationships/hyperlink" Target="https://www.globalpetrolprices.com/gasoline_prices/" TargetMode="External"/><Relationship Id="rId68" Type="http://schemas.openxmlformats.org/officeDocument/2006/relationships/hyperlink" Target="https://www.gov.ie/en/press-release/b80b7-government-ministers-announce-irish-support-for-ukrainian-health-service/?msclkid=07ab0901b05a11ec8239ca04bfcdbb9d" TargetMode="External"/><Relationship Id="rId89" Type="http://schemas.openxmlformats.org/officeDocument/2006/relationships/hyperlink" Target="https://www.dsca.mil/sites/default/files/mas/jordan_15-02.pdf" TargetMode="External"/><Relationship Id="rId112" Type="http://schemas.openxmlformats.org/officeDocument/2006/relationships/hyperlink" Target="https://www.made-in-china.com/products-search/hot-china-products/general_purpose_tent_price.html" TargetMode="External"/><Relationship Id="rId133" Type="http://schemas.openxmlformats.org/officeDocument/2006/relationships/hyperlink" Target="https://www.operationmilitarykids.org/best-tactical-gloves/" TargetMode="External"/><Relationship Id="rId154" Type="http://schemas.openxmlformats.org/officeDocument/2006/relationships/hyperlink" Target="https://www.deagel.com/Armored%20Vehicles/Piranha%20III/a000564" TargetMode="External"/><Relationship Id="rId175" Type="http://schemas.openxmlformats.org/officeDocument/2006/relationships/hyperlink" Target="https://www.asafm.army.mil/Portals/72/Documents/BudgetMaterial/2021/Base%20Budget/Procurement/MSLS_FY_2021_PB_Missile_Procurement_Army.pdf" TargetMode="External"/><Relationship Id="rId196" Type="http://schemas.openxmlformats.org/officeDocument/2006/relationships/hyperlink" Target="https://www.dsca.mil/press-media/major-arms-sales/finland-guided-multiple-launch-rocket-system-gmlrs-m31a1-unitary-and" TargetMode="External"/><Relationship Id="rId200" Type="http://schemas.openxmlformats.org/officeDocument/2006/relationships/hyperlink" Target="https://www.vabusinesssystems.com/how-much-does-a-voip-phone-system-cost" TargetMode="External"/><Relationship Id="rId16" Type="http://schemas.openxmlformats.org/officeDocument/2006/relationships/hyperlink" Target="https://www.gov.ie/en/press-release/b80b7-government-ministers-announce-irish-support-for-ukrainian-health-service/?msclkid=07ab0901b05a11ec8239ca04bfcdbb9d" TargetMode="External"/><Relationship Id="rId221" Type="http://schemas.openxmlformats.org/officeDocument/2006/relationships/hyperlink" Target="https://en.wikipedia.org/wiki/AeroVironment_Switchblade" TargetMode="External"/><Relationship Id="rId242" Type="http://schemas.openxmlformats.org/officeDocument/2006/relationships/hyperlink" Target="https://www.amazon.com/-/de/dp/B07SMXN8PR/ref=zg_bs_3413661_2/139-2167500-7694641?pd_rd_i=B09VBX2J8P&amp;th=1" TargetMode="External"/><Relationship Id="rId263" Type="http://schemas.openxmlformats.org/officeDocument/2006/relationships/hyperlink" Target="https://en.wikipedia.org/wiki/T-72" TargetMode="External"/><Relationship Id="rId37" Type="http://schemas.openxmlformats.org/officeDocument/2006/relationships/hyperlink" Target="https://www.amazon.de/s?k=surgical+mask&amp;__mk_de_DE=%C3%85M%C3%85%C5%BD%C3%95%C3%91&amp;crid=8PY7HKLQUCEM&amp;sprefix=surgical+mask%2Caps%2C106&amp;ref=nb_sb_noss" TargetMode="External"/><Relationship Id="rId58" Type="http://schemas.openxmlformats.org/officeDocument/2006/relationships/hyperlink" Target="https://en.wikipedia.org/wiki/Comparison_of_the_AK-47_and_M16" TargetMode="External"/><Relationship Id="rId79" Type="http://schemas.openxmlformats.org/officeDocument/2006/relationships/hyperlink" Target="https://truegunvalue.com/pistol/cz-82/price-historical-value" TargetMode="External"/><Relationship Id="rId102" Type="http://schemas.openxmlformats.org/officeDocument/2006/relationships/hyperlink" Target="https://military-history.fandom.com/wiki/Panzerhaubitze_2000" TargetMode="External"/><Relationship Id="rId123" Type="http://schemas.openxmlformats.org/officeDocument/2006/relationships/hyperlink" Target="https://en.wikipedia.org/wiki/Harpoon_(missile" TargetMode="External"/><Relationship Id="rId144" Type="http://schemas.openxmlformats.org/officeDocument/2006/relationships/hyperlink" Target="https://en.wikipedia.org/wiki/AeroVironment_Switchblade" TargetMode="External"/><Relationship Id="rId90" Type="http://schemas.openxmlformats.org/officeDocument/2006/relationships/hyperlink" Target="https://www.airuniversity.af.edu/Portals/10/ASPJ/journals/Chronicles/ucav.pdf" TargetMode="External"/><Relationship Id="rId165" Type="http://schemas.openxmlformats.org/officeDocument/2006/relationships/hyperlink" Target="https://tapportals.mk.gov.lv/legal_acts/4cc2e5ed-8d7f-4052-8aaa-9a3a1d472b7d" TargetMode="External"/><Relationship Id="rId186" Type="http://schemas.openxmlformats.org/officeDocument/2006/relationships/hyperlink" Target="https://en.wikipedia.org/wiki/M249_light_machine_gun" TargetMode="External"/><Relationship Id="rId211" Type="http://schemas.openxmlformats.org/officeDocument/2006/relationships/hyperlink" Target="https://www.made-in-china.com/price/iv-cannula-price.html" TargetMode="External"/><Relationship Id="rId232" Type="http://schemas.openxmlformats.org/officeDocument/2006/relationships/hyperlink" Target="https://www.paho.org/sites/default/files/RF-SyringePrices-2016-2017-e.pdf" TargetMode="External"/><Relationship Id="rId253" Type="http://schemas.openxmlformats.org/officeDocument/2006/relationships/hyperlink" Target="https://www.amazon.com/-/de/dp/B00NXJDQV0/ref=zg_bs_9931455011_3/139-2167500-7694641?pd_rd_i=B099PJGTQN&amp;th=1" TargetMode="External"/><Relationship Id="rId27" Type="http://schemas.openxmlformats.org/officeDocument/2006/relationships/hyperlink" Target="https://www.ammograb.com/762x51mm-nato/" TargetMode="External"/><Relationship Id="rId48" Type="http://schemas.openxmlformats.org/officeDocument/2006/relationships/hyperlink" Target="https://www.thefirearmblog.com/blog/2013/01/08/the-fn-fnc-affordable-select-fire-5-56/" TargetMode="External"/><Relationship Id="rId69" Type="http://schemas.openxmlformats.org/officeDocument/2006/relationships/hyperlink" Target="https://en.wikipedia.org/wiki/T-72" TargetMode="External"/><Relationship Id="rId113" Type="http://schemas.openxmlformats.org/officeDocument/2006/relationships/hyperlink" Target="https://en.wikipedia.org/wiki/T-72" TargetMode="External"/><Relationship Id="rId134" Type="http://schemas.openxmlformats.org/officeDocument/2006/relationships/hyperlink" Target="https://www.amazon.com/-/de/dp/B08FXVMBX2/ref=sr_1_7?keywords=hygiene+kit&amp;qid=1654184235&amp;sr=8-7" TargetMode="External"/><Relationship Id="rId80" Type="http://schemas.openxmlformats.org/officeDocument/2006/relationships/hyperlink" Target="https://sofrep.com/news/an-introduction-to-the-an-mpq-64-sentinel-aerial-surveillance-radar-ukraine-is-getting-from-the-us/" TargetMode="External"/><Relationship Id="rId155" Type="http://schemas.openxmlformats.org/officeDocument/2006/relationships/hyperlink" Target="http://www.army-guide.com/eng/product4460.html" TargetMode="External"/><Relationship Id="rId176" Type="http://schemas.openxmlformats.org/officeDocument/2006/relationships/hyperlink" Target="https://nationalpost.com/news/canada/canadian-army-restricts-use-of-artillery-rounds-after-cracks-found-in-high-tech-shells-costing-150000-each" TargetMode="External"/><Relationship Id="rId197" Type="http://schemas.openxmlformats.org/officeDocument/2006/relationships/hyperlink" Target="https://books.google.de/books?id=yLwfAAAAMAAJ&amp;pg=PA1058&amp;lpg=PA1058&amp;dq=66mm+rocket+cost&amp;source=bl&amp;ots=6R5N48jaub&amp;sig=ACfU3U0WpoNaDz-vvRYJb9J-bD1_tUAxXQ&amp;hl=en&amp;sa=X&amp;ved=2ahUKEwiRzq7f0c_4AhWPRPEDHTv_CPEQ6AF6BAgNEAM" TargetMode="External"/><Relationship Id="rId201" Type="http://schemas.openxmlformats.org/officeDocument/2006/relationships/hyperlink" Target="https://www.shopping24.de/products?searchTerm=petrol+generator" TargetMode="External"/><Relationship Id="rId222" Type="http://schemas.openxmlformats.org/officeDocument/2006/relationships/hyperlink" Target="https://en.wikipedia.org/wiki/Claymore_mine" TargetMode="External"/><Relationship Id="rId243" Type="http://schemas.openxmlformats.org/officeDocument/2006/relationships/hyperlink" Target="https://dir.indiamart.com/impcat/radio-frequency-systems.html" TargetMode="External"/><Relationship Id="rId264" Type="http://schemas.openxmlformats.org/officeDocument/2006/relationships/hyperlink" Target="https://taskandpurpose.com/news/ac-130-gunship-105mm-cannon/" TargetMode="External"/><Relationship Id="rId17" Type="http://schemas.openxmlformats.org/officeDocument/2006/relationships/hyperlink" Target="https://www.frazerbilt.com/blog-ambulance-cost/" TargetMode="External"/><Relationship Id="rId38" Type="http://schemas.openxmlformats.org/officeDocument/2006/relationships/hyperlink" Target="https://truegunvalue.com/shotgun/mossberg/500/price-historical-value-1217" TargetMode="External"/><Relationship Id="rId59" Type="http://schemas.openxmlformats.org/officeDocument/2006/relationships/hyperlink" Target="https://hcpresources.medtronic.com/blog/high-acuity-ventilator-cost-guide" TargetMode="External"/><Relationship Id="rId103" Type="http://schemas.openxmlformats.org/officeDocument/2006/relationships/hyperlink" Target="https://nation-creation.fandom.com/wiki/Modern_Day_Military_Pricing_List" TargetMode="External"/><Relationship Id="rId124" Type="http://schemas.openxmlformats.org/officeDocument/2006/relationships/hyperlink" Target="https://www.dsca.mil/press-media/major-arms-sales/egypt-harpoon-block-ii-anti-ship-cruise-missiles" TargetMode="External"/><Relationship Id="rId70" Type="http://schemas.openxmlformats.org/officeDocument/2006/relationships/hyperlink" Target="https://mortarinvestments.eu/catalog/item/bmp-type-vehicles" TargetMode="External"/><Relationship Id="rId91" Type="http://schemas.openxmlformats.org/officeDocument/2006/relationships/hyperlink" Target="https://en.wikipedia.org/wiki/M198_howitzer" TargetMode="External"/><Relationship Id="rId145" Type="http://schemas.openxmlformats.org/officeDocument/2006/relationships/hyperlink" Target="https://www.marketwatch.com/story/new-army-trucks-may-cost-350000-each-gao-2011-10-27" TargetMode="External"/><Relationship Id="rId166" Type="http://schemas.openxmlformats.org/officeDocument/2006/relationships/hyperlink" Target="https://tapportals.mk.gov.lv/legal_acts/4cc2e5ed-8d7f-4052-8aaa-9a3a1d472b7d" TargetMode="External"/><Relationship Id="rId187" Type="http://schemas.openxmlformats.org/officeDocument/2006/relationships/hyperlink" Target="https://www.amazon.com/camping-shower-tent-Sports-Outdoors/s?k=camping+shower+tent&amp;rh=n%3A3375251" TargetMode="External"/><Relationship Id="rId1" Type="http://schemas.openxmlformats.org/officeDocument/2006/relationships/hyperlink" Target="https://www.shephardmedia.com/news/defence-notes/west-bolsters-ukrainian-arms-stocks-as-russian-thr/" TargetMode="External"/><Relationship Id="rId212" Type="http://schemas.openxmlformats.org/officeDocument/2006/relationships/hyperlink" Target="https://www.walmart.com/browse/sports-outdoors/family-camping-tents/4125_546956_4128_887708_5044884" TargetMode="External"/><Relationship Id="rId233" Type="http://schemas.openxmlformats.org/officeDocument/2006/relationships/hyperlink" Target="https://getnightride.com/blogs/nightride-blog/best-thermal-imaging-camera-value" TargetMode="External"/><Relationship Id="rId254" Type="http://schemas.openxmlformats.org/officeDocument/2006/relationships/hyperlink" Target="https://www.augsburger-allgemeine.de/politik/bewaffnete-drohnen-bundeswehr-deutschland-heron-tp-flugkoerper-id62284321.html" TargetMode="External"/><Relationship Id="rId28" Type="http://schemas.openxmlformats.org/officeDocument/2006/relationships/hyperlink" Target="https://en.wikipedia.org/wiki/FIM-92_Stinger" TargetMode="External"/><Relationship Id="rId49" Type="http://schemas.openxmlformats.org/officeDocument/2006/relationships/hyperlink" Target="https://www.wikiwand.com/en/RPG-22" TargetMode="External"/><Relationship Id="rId114" Type="http://schemas.openxmlformats.org/officeDocument/2006/relationships/hyperlink" Target="https://nation-creation.fandom.com/wiki/Modern_Day_Military_Pricing_List" TargetMode="External"/><Relationship Id="rId60" Type="http://schemas.openxmlformats.org/officeDocument/2006/relationships/hyperlink" Target="https://www.rbth.com/economics/2013/05/15/5_questions_on_russian_s-300_missile_system_sales_to_syria_25027" TargetMode="External"/><Relationship Id="rId81" Type="http://schemas.openxmlformats.org/officeDocument/2006/relationships/hyperlink" Target="https://www.deagel.com/Tactical%20Vehicles/ANTPQ-36/a000601" TargetMode="External"/><Relationship Id="rId135" Type="http://schemas.openxmlformats.org/officeDocument/2006/relationships/hyperlink" Target="https://military-history.fandom.com/wiki/Panzerfaust_3" TargetMode="External"/><Relationship Id="rId156" Type="http://schemas.openxmlformats.org/officeDocument/2006/relationships/hyperlink" Target="https://en.wikipedia.org/wiki/RPG-7" TargetMode="External"/><Relationship Id="rId177" Type="http://schemas.openxmlformats.org/officeDocument/2006/relationships/hyperlink" Target="https://cpr-savers.com/Laerdal-Silicone-Resuscitator-Adult-Standard-with-Adult-Mask-4-5-in-Carton_p_6986.html" TargetMode="External"/><Relationship Id="rId198" Type="http://schemas.openxmlformats.org/officeDocument/2006/relationships/hyperlink" Target="https://www.paho.org/sites/default/files/RF-SyringePrices-2016-2017-e.pdf" TargetMode="External"/><Relationship Id="rId202" Type="http://schemas.openxmlformats.org/officeDocument/2006/relationships/hyperlink" Target="https://www.angi.com/articles/how-much-does-tv-antenna-installation-cost.htm" TargetMode="External"/><Relationship Id="rId223" Type="http://schemas.openxmlformats.org/officeDocument/2006/relationships/hyperlink" Target="https://www.howmuchisit.org/metal-detector-cost/" TargetMode="External"/><Relationship Id="rId244" Type="http://schemas.openxmlformats.org/officeDocument/2006/relationships/hyperlink" Target="https://www.alibaba.com/product-detail/Dust-and-Water-Proof-Military-Radio_62087839225.html?spm=a2700.7724857.normal_offer.d_title.6a042a44heUWWl" TargetMode="External"/><Relationship Id="rId18" Type="http://schemas.openxmlformats.org/officeDocument/2006/relationships/hyperlink" Target="https://firefighterinsider.com/fire-truck-engine-apparatus-cost/" TargetMode="External"/><Relationship Id="rId39" Type="http://schemas.openxmlformats.org/officeDocument/2006/relationships/hyperlink" Target="https://www.newsy.com/stories/how-much-money-should-you-actually-be-investing-in-a-winter-coat/" TargetMode="External"/><Relationship Id="rId265" Type="http://schemas.openxmlformats.org/officeDocument/2006/relationships/hyperlink" Target="https://www.navalnews.com/naval-news/2021/01/u-s-navy-will-not-replace-the-patrol-coastals-with-a-new-boat-of-similar-size-and-type/" TargetMode="External"/><Relationship Id="rId50" Type="http://schemas.openxmlformats.org/officeDocument/2006/relationships/hyperlink" Target="https://www.medicalpriceonline.com/medical-equipment/patient-monitor/" TargetMode="External"/><Relationship Id="rId104" Type="http://schemas.openxmlformats.org/officeDocument/2006/relationships/hyperlink" Targe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TargetMode="External"/><Relationship Id="rId125" Type="http://schemas.openxmlformats.org/officeDocument/2006/relationships/hyperlink" Target="https://www.elindependiente.com/espana/2022/03/03/estas-son-las-armas-que-mandara-espana-a-la-resistencia-ucraniana-en-el-primer-envio/" TargetMode="External"/><Relationship Id="rId146" Type="http://schemas.openxmlformats.org/officeDocument/2006/relationships/hyperlink" Target="https://inetres.com/gp/military/infantry/antiarmor/AT4.html" TargetMode="External"/><Relationship Id="rId167" Type="http://schemas.openxmlformats.org/officeDocument/2006/relationships/hyperlink" Target="https://truegunvalue.com/rifle/heckler-koch/g3/price-historical-value-645" TargetMode="External"/><Relationship Id="rId188" Type="http://schemas.openxmlformats.org/officeDocument/2006/relationships/hyperlink" Target="https://tanks-encyclopedia.com/modern/south_africa/mamba_apc" TargetMode="External"/><Relationship Id="rId71" Type="http://schemas.openxmlformats.org/officeDocument/2006/relationships/hyperlink" Target="https://www.amazon.de/s?k=medical+gloves+non+sterile&amp;crid=27Q1FWQ28L6PP&amp;sprefix=non-steri%2Caps%2C103&amp;ref=nb_sb_ss_ts-doa-p_1_9" TargetMode="External"/><Relationship Id="rId92" Type="http://schemas.openxmlformats.org/officeDocument/2006/relationships/hyperlink" Target="https://en.wikipedia.org/wiki/M198_howitzer" TargetMode="External"/><Relationship Id="rId213" Type="http://schemas.openxmlformats.org/officeDocument/2006/relationships/hyperlink" Target="https://www.amazon.de/-/en/Deutschland-GT500075145-8835-Respirator-Mask/dp/B004OYY31K" TargetMode="External"/><Relationship Id="rId234" Type="http://schemas.openxmlformats.org/officeDocument/2006/relationships/hyperlink" Target="https://www.racgp.org.au/afp/2014/march/wound-care-costs" TargetMode="External"/><Relationship Id="rId2" Type="http://schemas.openxmlformats.org/officeDocument/2006/relationships/hyperlink" Target="https://www.caranddriver.com/jeep/wrangler" TargetMode="External"/><Relationship Id="rId29" Type="http://schemas.openxmlformats.org/officeDocument/2006/relationships/hyperlink" Target="https://en.wikipedia.org/wiki/M72_LAW" TargetMode="External"/><Relationship Id="rId255" Type="http://schemas.openxmlformats.org/officeDocument/2006/relationships/hyperlink" Target="https://www.praxisdienst.de/Einrichtung/Ablegen+und+lagern/Medikamentenkuehlschraenke/Liebherr+MKUv+1610+Medikamentenkuehlschrank+mit+Fachboeden.html?speed=1&amp;gclid=Cj0KCQjwntCVBhDdARIsAMEwACmOKJaqbtWlmkE3PwceLhHIP9m3qGdulBKn1kImSy42c3gxKcXCRD4aAhIXEALw_wcB" TargetMode="External"/><Relationship Id="rId40" Type="http://schemas.openxmlformats.org/officeDocument/2006/relationships/hyperlink" Target="https://en.wikipedia.org/wiki/FIM-92_Stinger" TargetMode="External"/><Relationship Id="rId115" Type="http://schemas.openxmlformats.org/officeDocument/2006/relationships/hyperlink" Target="https://bestsurvival.org/best-family-tent/" TargetMode="External"/><Relationship Id="rId136" Type="http://schemas.openxmlformats.org/officeDocument/2006/relationships/hyperlink" Target="https://mil.in.ua/en/news/germany-plans-to-supply-ukraine-with-cobra-counter-battery-radars/" TargetMode="External"/><Relationship Id="rId157" Type="http://schemas.openxmlformats.org/officeDocument/2006/relationships/hyperlink" Target="https://www.ammunitiondepot.com/304-762x39mm" TargetMode="External"/><Relationship Id="rId178" Type="http://schemas.openxmlformats.org/officeDocument/2006/relationships/hyperlink" Target="https://www.lockheedmartin.com/en-us/products/javelin.html" TargetMode="External"/><Relationship Id="rId61" Type="http://schemas.openxmlformats.org/officeDocument/2006/relationships/hyperlink" Target="https://military-history.fandom.com/wiki/Panzerfaust_3" TargetMode="External"/><Relationship Id="rId82" Type="http://schemas.openxmlformats.org/officeDocument/2006/relationships/hyperlink" Target="https://twitter.com/nicholadrummond/status/1294364270826860544" TargetMode="External"/><Relationship Id="rId199" Type="http://schemas.openxmlformats.org/officeDocument/2006/relationships/hyperlink" Target="https://en.wikipedia.org/wiki/AGM-114_Hellfire" TargetMode="External"/><Relationship Id="rId203" Type="http://schemas.openxmlformats.org/officeDocument/2006/relationships/hyperlink" Target="https://www.amazon.de/-/en/Viablue-X-25-SILVER-POWER-CABLE/dp/B07ZYQWPZ9" TargetMode="External"/><Relationship Id="rId19" Type="http://schemas.openxmlformats.org/officeDocument/2006/relationships/hyperlink" Target="https://firefighterinsider.com/fire-truck-engine-apparatus-cost/" TargetMode="External"/><Relationship Id="rId224" Type="http://schemas.openxmlformats.org/officeDocument/2006/relationships/hyperlink" Target="https://www.wsav.com/news/automatic-weapons-how-tough-is-it-to-buy-one/" TargetMode="External"/><Relationship Id="rId245" Type="http://schemas.openxmlformats.org/officeDocument/2006/relationships/hyperlink" Target="https://www.varusteleka.com/en/product/field-phone-cable-100-m-300-surplus/70446" TargetMode="External"/><Relationship Id="rId266" Type="http://schemas.openxmlformats.org/officeDocument/2006/relationships/hyperlink" Target="https://www.navalnews.com/naval-news/2021/01/u-s-navy-will-not-replace-the-patrol-coastals-with-a-new-boat-of-similar-size-and-type/" TargetMode="External"/><Relationship Id="rId30" Type="http://schemas.openxmlformats.org/officeDocument/2006/relationships/hyperlink" Target="https://man.fas.org/dod-101/sys/land/at4.htm" TargetMode="External"/><Relationship Id="rId105" Type="http://schemas.openxmlformats.org/officeDocument/2006/relationships/hyperlink" Target="https://www.wienerzeitung.at/nachrichten/politik/oesterreich/2146418-Oesterreich-schickte-Ukraine-Armeeausruestung.html" TargetMode="External"/><Relationship Id="rId126" Type="http://schemas.openxmlformats.org/officeDocument/2006/relationships/hyperlink" Target="https://www.deagel.com/Combat%20Aircraft/Mi-24/a000751" TargetMode="External"/><Relationship Id="rId147" Type="http://schemas.openxmlformats.org/officeDocument/2006/relationships/hyperlink" Target="https://sofrep.com/news/an-introduction-to-the-an-mpq-64-sentinel-aerial-surveillance-radar-ukraine-is-getting-from-the-us/" TargetMode="External"/><Relationship Id="rId168" Type="http://schemas.openxmlformats.org/officeDocument/2006/relationships/hyperlink" Target="https://www.armyrecognition.com/defense_news_january_2021_global_security_army_industry/first_iveco_lmv_2_nec_armored_vehicles_enter_service_with_italian_army.html" TargetMode="External"/><Relationship Id="rId51" Type="http://schemas.openxmlformats.org/officeDocument/2006/relationships/hyperlink" Target="https://www.ammograb.com/556x45mm-nato/" TargetMode="External"/><Relationship Id="rId72" Type="http://schemas.openxmlformats.org/officeDocument/2006/relationships/hyperlink" Target="https://bimedis.com/a-item/hospital-beds-gima-44800-letto-1613159" TargetMode="External"/><Relationship Id="rId93" Type="http://schemas.openxmlformats.org/officeDocument/2006/relationships/hyperlink" Target="https://dronelife.com/2016/08/17/xtreem-affordable-hd-video-drones/" TargetMode="External"/><Relationship Id="rId189" Type="http://schemas.openxmlformats.org/officeDocument/2006/relationships/hyperlink" Target="https://www.foxtechfpv.com/industrial-drone/heavy-lift-drone.html" TargetMode="External"/><Relationship Id="rId3" Type="http://schemas.openxmlformats.org/officeDocument/2006/relationships/hyperlink" Target="https://www.militaryfactory.com/smallarms/detail.php?smallarms_id=18" TargetMode="External"/><Relationship Id="rId214" Type="http://schemas.openxmlformats.org/officeDocument/2006/relationships/hyperlink" Target="https://www.frankonia.de/p/sellier-bellot/9-mm-luger-vollmantel-8-0g-124grs/65187" TargetMode="External"/><Relationship Id="rId235" Type="http://schemas.openxmlformats.org/officeDocument/2006/relationships/hyperlink" Target="https://www.statista.com/statistics/722992/worldwide-personal-computers-average-selling-price/" TargetMode="External"/><Relationship Id="rId256" Type="http://schemas.openxmlformats.org/officeDocument/2006/relationships/hyperlink" Target="https://www.docmorris.de/fastjekt-300-g-autoinjektor-injlsgim/09738902" TargetMode="External"/><Relationship Id="rId116" Type="http://schemas.openxmlformats.org/officeDocument/2006/relationships/hyperlink" Target="https://thecostguys.com/home/average-cost-of-a-weighted-blanket" TargetMode="External"/><Relationship Id="rId137" Type="http://schemas.openxmlformats.org/officeDocument/2006/relationships/hyperlink" Target="https://man.fas.org/dod-101/sys/land/m270.htm" TargetMode="External"/><Relationship Id="rId158" Type="http://schemas.openxmlformats.org/officeDocument/2006/relationships/hyperlink" Target="https://www.globalsecurity.org/military/world/europe/aspide.htm" TargetMode="External"/><Relationship Id="rId20" Type="http://schemas.openxmlformats.org/officeDocument/2006/relationships/hyperlink" Target="https://www.aerzte-ohne-grenzen.de/sites/default/files/mediathek/entity/document/1998-01-bosnia-report-donation-practices.pdf" TargetMode="External"/><Relationship Id="rId41" Type="http://schemas.openxmlformats.org/officeDocument/2006/relationships/hyperlink" Target="https://www.globalpetrolprices.com/diesel_prices/" TargetMode="External"/><Relationship Id="rId62" Type="http://schemas.openxmlformats.org/officeDocument/2006/relationships/hyperlink" Target="https://landminefree.org/facts-about-landmines/" TargetMode="External"/><Relationship Id="rId83" Type="http://schemas.openxmlformats.org/officeDocument/2006/relationships/hyperlink" Target="https://www.19fortyfive.com/2022/05/putin-is-smiling-ukraine-may-not-be-getting-full-javelin-missile-training/" TargetMode="External"/><Relationship Id="rId179" Type="http://schemas.openxmlformats.org/officeDocument/2006/relationships/hyperlink" Target="https://www.saab.com/products/nlaw" TargetMode="External"/><Relationship Id="rId190" Type="http://schemas.openxmlformats.org/officeDocument/2006/relationships/hyperlink" Target="https://www.ebay.com/b/Military-Gas-Mask/158440/bn_55190958" TargetMode="External"/><Relationship Id="rId204" Type="http://schemas.openxmlformats.org/officeDocument/2006/relationships/hyperlink" Target="https://www.dsca.mil/press-media/major-arms-sales/jordan-guided-multiple-launch-rocket-systems-gmlrs-alternate-warhead" TargetMode="External"/><Relationship Id="rId225" Type="http://schemas.openxmlformats.org/officeDocument/2006/relationships/hyperlink" Target="https://www.ammograb.com/762x51mm-nato/" TargetMode="External"/><Relationship Id="rId246" Type="http://schemas.openxmlformats.org/officeDocument/2006/relationships/hyperlink" Target="https://kyiv.mfa.ee/en/2022/02/estonia-and-germany-to-donate-military-field-hospital-to-ukraine/" TargetMode="External"/><Relationship Id="rId267" Type="http://schemas.openxmlformats.org/officeDocument/2006/relationships/hyperlink" Target="https://www.deagel.com/Artillery%20Systems/NASAMS/a000380" TargetMode="External"/><Relationship Id="rId106" Type="http://schemas.openxmlformats.org/officeDocument/2006/relationships/hyperlink" Target="http://army-warehouse.com/10-servicecard-artikel/226-osterr-bundesheer-splitter-schutzweste-kampfweste-obh.html?msclkid=6fe95c5ecf7111ecbc7bf25f9bd8a5b5" TargetMode="External"/><Relationship Id="rId127" Type="http://schemas.openxmlformats.org/officeDocument/2006/relationships/hyperlink" Target="https://www.howmuchisit.org/fire-truck-cost/" TargetMode="External"/><Relationship Id="rId10" Type="http://schemas.openxmlformats.org/officeDocument/2006/relationships/hyperlink" Target="https://www.medicalexpo.com/medical-manufacturer/military-stretcher-30275.html" TargetMode="External"/><Relationship Id="rId31" Type="http://schemas.openxmlformats.org/officeDocument/2006/relationships/hyperlink" Target="https://rationalinsurgent.com/how-much-does-a-switchblade-drone-cost/" TargetMode="External"/><Relationship Id="rId52" Type="http://schemas.openxmlformats.org/officeDocument/2006/relationships/hyperlink" Target="https://military-history.fandom.com/wiki/Carl_Gustaf_recoilless_rifle" TargetMode="External"/><Relationship Id="rId73" Type="http://schemas.openxmlformats.org/officeDocument/2006/relationships/hyperlink" Target="https://www.pmulcahy.com/am_rifles/czech_am_rifles.htm" TargetMode="External"/><Relationship Id="rId94" Type="http://schemas.openxmlformats.org/officeDocument/2006/relationships/hyperlink" Target="https://www.businessairnews.com/hb_aircraftpage.html?recnum=EC145" TargetMode="External"/><Relationship Id="rId148" Type="http://schemas.openxmlformats.org/officeDocument/2006/relationships/hyperlink" Target="https://www.newcivilengineer.com/latest/hammersmith-bridge-tfl-took-six-months-to-provide-info-on-temporary-crossing-09-09-2020/" TargetMode="External"/><Relationship Id="rId169" Type="http://schemas.openxmlformats.org/officeDocument/2006/relationships/hyperlink" Target="http://www.army-guide.com/eng/product1645.html" TargetMode="External"/><Relationship Id="rId4" Type="http://schemas.openxmlformats.org/officeDocument/2006/relationships/hyperlink" Target="https://en.wikipedia.org/wiki/Meal,_Ready-to-Eat" TargetMode="External"/><Relationship Id="rId180" Type="http://schemas.openxmlformats.org/officeDocument/2006/relationships/hyperlink" Target="https://nationalpost.com/news/canada/canadian-army-restricts-use-of-artillery-rounds-after-cracks-found-in-high-tech-shells-costing-150000-each" TargetMode="External"/><Relationship Id="rId215" Type="http://schemas.openxmlformats.org/officeDocument/2006/relationships/hyperlink" Target="https://www.gadgetreview.com/computer-monitor-cost" TargetMode="External"/><Relationship Id="rId236" Type="http://schemas.openxmlformats.org/officeDocument/2006/relationships/hyperlink" Target="https://leaguefeed.net/how-much-should-you-spend-on-laptop/" TargetMode="External"/><Relationship Id="rId257" Type="http://schemas.openxmlformats.org/officeDocument/2006/relationships/hyperlink" Target="https://www.jammer-store.de/Drohne-storsender.html" TargetMode="External"/><Relationship Id="rId42" Type="http://schemas.openxmlformats.org/officeDocument/2006/relationships/hyperlink" Target="https://www.sparks-military.com/en/body-armor/154-m-69-fragmentation-vest-flak-jacket.html" TargetMode="External"/><Relationship Id="rId84" Type="http://schemas.openxmlformats.org/officeDocument/2006/relationships/hyperlink" Target="https://en.wikipedia.org/wiki/AGM-158C_LRASM" TargetMode="External"/><Relationship Id="rId138" Type="http://schemas.openxmlformats.org/officeDocument/2006/relationships/hyperlink" Target="https://www.marketwatch.com/story/new-army-trucks-may-cost-350000-each-gao-2011-10-27" TargetMode="External"/><Relationship Id="rId191" Type="http://schemas.openxmlformats.org/officeDocument/2006/relationships/hyperlink" Target="https://www.drugs.com/price-guide/azithromycin-dose-pack" TargetMode="External"/><Relationship Id="rId205" Type="http://schemas.openxmlformats.org/officeDocument/2006/relationships/hyperlink" Target="https://realestate.usnews.com/real-estate/articles/how-much-does-it-cost-to-buy-a-mobile-home" TargetMode="External"/><Relationship Id="rId247" Type="http://schemas.openxmlformats.org/officeDocument/2006/relationships/hyperlink" Target="https://dronedj.com/2021/08/04/buy-your-own-drone-jamming-gun-on-amazon-but-be-carefu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W16387"/>
  <sheetViews>
    <sheetView showGridLines="0" topLeftCell="A67" zoomScaleNormal="100" workbookViewId="0">
      <selection activeCell="B77" sqref="B77"/>
    </sheetView>
  </sheetViews>
  <sheetFormatPr defaultColWidth="9" defaultRowHeight="15.75"/>
  <cols>
    <col min="1" max="1" width="9" style="2"/>
    <col min="2" max="2" width="32.625" style="2" customWidth="1"/>
    <col min="3" max="16384" width="9" style="2"/>
  </cols>
  <sheetData>
    <row r="1" spans="1:23">
      <c r="A1" s="6"/>
      <c r="B1" s="6"/>
      <c r="C1" s="6"/>
      <c r="D1" s="6"/>
      <c r="E1" s="6"/>
      <c r="F1" s="6"/>
      <c r="G1" s="6"/>
      <c r="H1" s="6"/>
      <c r="I1" s="6"/>
      <c r="J1" s="6"/>
      <c r="K1" s="6"/>
      <c r="L1" s="6"/>
      <c r="M1" s="6"/>
      <c r="N1" s="6"/>
      <c r="O1" s="6"/>
    </row>
    <row r="2" spans="1:23">
      <c r="A2" s="6"/>
      <c r="B2" s="835" t="s">
        <v>0</v>
      </c>
      <c r="C2" s="835"/>
      <c r="D2" s="835"/>
      <c r="E2" s="835"/>
      <c r="F2" s="835"/>
      <c r="G2" s="835"/>
      <c r="H2" s="835"/>
      <c r="I2" s="835"/>
      <c r="J2" s="835"/>
      <c r="K2" s="835"/>
      <c r="L2" s="835"/>
      <c r="M2" s="835"/>
      <c r="N2" s="10"/>
      <c r="O2" s="6"/>
    </row>
    <row r="3" spans="1:23" ht="20.25">
      <c r="A3" s="11"/>
      <c r="B3" s="835"/>
      <c r="C3" s="835"/>
      <c r="D3" s="835"/>
      <c r="E3" s="835"/>
      <c r="F3" s="835"/>
      <c r="G3" s="835"/>
      <c r="H3" s="835"/>
      <c r="I3" s="835"/>
      <c r="J3" s="835"/>
      <c r="K3" s="835"/>
      <c r="L3" s="835"/>
      <c r="M3" s="835"/>
      <c r="N3" s="10"/>
      <c r="O3" s="6"/>
    </row>
    <row r="4" spans="1:23" ht="20.25">
      <c r="A4" s="11"/>
      <c r="B4" s="747"/>
      <c r="C4" s="747"/>
      <c r="D4" s="747"/>
      <c r="E4" s="17"/>
      <c r="F4" s="472" t="s">
        <v>1</v>
      </c>
      <c r="G4" s="747"/>
      <c r="H4" s="747"/>
      <c r="I4" s="747"/>
      <c r="J4" s="747"/>
      <c r="K4" s="747"/>
      <c r="L4" s="747"/>
      <c r="M4" s="747"/>
      <c r="N4" s="10"/>
      <c r="O4" s="6"/>
    </row>
    <row r="5" spans="1:23" ht="20.25">
      <c r="A5" s="11"/>
      <c r="B5" s="747"/>
      <c r="C5" s="747"/>
      <c r="D5" s="747"/>
      <c r="E5" s="747"/>
      <c r="F5" s="747"/>
      <c r="G5" s="747"/>
      <c r="H5" s="747"/>
      <c r="I5" s="747"/>
      <c r="J5" s="747"/>
      <c r="K5" s="747"/>
      <c r="L5" s="747"/>
      <c r="M5" s="747"/>
      <c r="N5" s="10"/>
      <c r="O5" s="6"/>
    </row>
    <row r="6" spans="1:23">
      <c r="A6" s="6"/>
      <c r="B6" s="836" t="s">
        <v>2</v>
      </c>
      <c r="C6" s="836"/>
      <c r="D6" s="836"/>
      <c r="E6" s="836"/>
      <c r="F6" s="836"/>
      <c r="G6" s="836"/>
      <c r="H6" s="836"/>
      <c r="I6" s="836"/>
      <c r="J6" s="836"/>
      <c r="K6" s="836"/>
      <c r="L6" s="836"/>
      <c r="M6" s="836"/>
      <c r="N6" s="10"/>
      <c r="O6" s="6"/>
    </row>
    <row r="7" spans="1:23">
      <c r="A7" s="6"/>
      <c r="B7" s="837" t="s">
        <v>3</v>
      </c>
      <c r="C7" s="837"/>
      <c r="D7" s="837"/>
      <c r="E7" s="837"/>
      <c r="F7" s="837"/>
      <c r="G7" s="837"/>
      <c r="H7" s="837"/>
      <c r="I7" s="837"/>
      <c r="J7" s="837"/>
      <c r="K7" s="837"/>
      <c r="L7" s="837"/>
      <c r="M7" s="837"/>
      <c r="N7" s="837"/>
      <c r="O7" s="6"/>
    </row>
    <row r="8" spans="1:23">
      <c r="A8" s="6"/>
      <c r="B8" s="748"/>
      <c r="C8" s="748"/>
      <c r="D8" s="748"/>
      <c r="E8" s="748"/>
      <c r="F8" s="748"/>
      <c r="G8" s="748"/>
      <c r="H8" s="748"/>
      <c r="I8" s="748"/>
      <c r="J8" s="748"/>
      <c r="K8" s="748"/>
      <c r="L8" s="748"/>
      <c r="M8" s="748"/>
      <c r="N8" s="748"/>
      <c r="O8" s="6"/>
    </row>
    <row r="9" spans="1:23">
      <c r="A9" s="6"/>
      <c r="B9" s="838" t="s">
        <v>4</v>
      </c>
      <c r="C9" s="838"/>
      <c r="D9" s="838"/>
      <c r="E9" s="838"/>
      <c r="F9" s="838"/>
      <c r="G9" s="838"/>
      <c r="H9" s="838"/>
      <c r="I9" s="838"/>
      <c r="J9" s="838"/>
      <c r="K9" s="838"/>
      <c r="L9" s="838"/>
      <c r="M9" s="838"/>
      <c r="N9" s="10"/>
      <c r="O9" s="6"/>
    </row>
    <row r="10" spans="1:23">
      <c r="A10" s="6"/>
      <c r="D10" s="9"/>
      <c r="E10" s="9"/>
      <c r="F10" s="9"/>
      <c r="G10" s="9"/>
      <c r="H10" s="9"/>
      <c r="I10" s="9"/>
      <c r="J10" s="9"/>
      <c r="K10" s="9"/>
      <c r="L10" s="7"/>
      <c r="M10" s="7"/>
      <c r="N10" s="6"/>
      <c r="O10" s="6"/>
    </row>
    <row r="11" spans="1:23">
      <c r="A11" s="6"/>
      <c r="B11" s="839" t="s">
        <v>5</v>
      </c>
      <c r="C11" s="839"/>
      <c r="D11" s="9"/>
      <c r="E11" s="9"/>
      <c r="F11" s="9"/>
      <c r="G11" s="9"/>
      <c r="H11" s="9"/>
      <c r="I11" s="9"/>
      <c r="J11" s="9"/>
      <c r="K11" s="9"/>
      <c r="L11" s="7"/>
      <c r="M11" s="7"/>
      <c r="N11" s="6"/>
      <c r="O11" s="6"/>
    </row>
    <row r="12" spans="1:23" ht="15.95" customHeight="1">
      <c r="A12" s="6"/>
      <c r="B12" s="839"/>
      <c r="C12" s="839"/>
      <c r="D12" s="9"/>
      <c r="E12" s="9"/>
      <c r="F12" s="9"/>
      <c r="G12" s="9"/>
      <c r="H12" s="9"/>
      <c r="I12" s="9"/>
      <c r="J12" s="9"/>
      <c r="K12" s="9"/>
      <c r="L12" s="7"/>
      <c r="M12" s="7"/>
      <c r="N12" s="14"/>
      <c r="O12" s="14"/>
      <c r="P12" s="15"/>
      <c r="Q12" s="15"/>
      <c r="R12" s="15"/>
    </row>
    <row r="13" spans="1:23" ht="18.75">
      <c r="A13" s="6"/>
      <c r="B13" s="470" t="s">
        <v>6</v>
      </c>
      <c r="C13" s="470"/>
      <c r="D13" s="470"/>
      <c r="E13" s="470"/>
      <c r="F13" s="470"/>
      <c r="G13" s="470"/>
      <c r="H13" s="470"/>
      <c r="I13" s="470"/>
      <c r="J13" s="470"/>
      <c r="K13" s="470"/>
      <c r="L13" s="470"/>
      <c r="M13" s="470"/>
      <c r="N13" s="470"/>
      <c r="O13" s="470"/>
      <c r="P13" s="470"/>
      <c r="Q13" s="470"/>
      <c r="R13" s="470"/>
      <c r="S13" s="470"/>
      <c r="T13" s="471"/>
      <c r="U13" s="471"/>
      <c r="V13" s="471"/>
      <c r="W13" s="471"/>
    </row>
    <row r="14" spans="1:23">
      <c r="A14" s="6"/>
      <c r="B14" s="6"/>
      <c r="C14" s="6"/>
      <c r="D14" s="6"/>
      <c r="E14" s="6"/>
      <c r="F14" s="6"/>
      <c r="G14" s="6"/>
      <c r="H14" s="6"/>
      <c r="I14" s="6"/>
      <c r="J14" s="6"/>
      <c r="K14" s="6"/>
      <c r="L14" s="6"/>
      <c r="M14" s="6"/>
      <c r="N14" s="14"/>
      <c r="O14" s="14"/>
      <c r="P14" s="15"/>
      <c r="Q14" s="15"/>
      <c r="R14" s="15"/>
    </row>
    <row r="15" spans="1:23" s="4" customFormat="1" ht="15">
      <c r="B15" s="840" t="s">
        <v>7</v>
      </c>
    </row>
    <row r="16" spans="1:23" s="4" customFormat="1" ht="15">
      <c r="B16" s="840"/>
      <c r="C16" s="4" t="s">
        <v>8</v>
      </c>
    </row>
    <row r="17" spans="1:19" s="4" customFormat="1" ht="15">
      <c r="B17" s="5"/>
    </row>
    <row r="18" spans="1:19" s="8" customFormat="1" ht="15.95" customHeight="1">
      <c r="A18" s="151"/>
      <c r="B18" s="841" t="s">
        <v>9</v>
      </c>
      <c r="C18" s="841"/>
      <c r="D18" s="841"/>
      <c r="E18" s="841"/>
      <c r="F18" s="841"/>
      <c r="G18" s="841"/>
      <c r="H18" s="841"/>
      <c r="I18" s="841"/>
      <c r="J18" s="841"/>
      <c r="K18" s="841"/>
      <c r="L18" s="841"/>
      <c r="M18" s="841"/>
      <c r="N18" s="841"/>
      <c r="O18" s="841"/>
      <c r="P18" s="841"/>
      <c r="Q18" s="841"/>
      <c r="R18" s="841"/>
      <c r="S18" s="151"/>
    </row>
    <row r="19" spans="1:19" s="8" customFormat="1" ht="15.95" customHeight="1">
      <c r="A19" s="151"/>
      <c r="B19" s="841"/>
      <c r="C19" s="841"/>
      <c r="D19" s="841"/>
      <c r="E19" s="841"/>
      <c r="F19" s="841"/>
      <c r="G19" s="841"/>
      <c r="H19" s="841"/>
      <c r="I19" s="841"/>
      <c r="J19" s="841"/>
      <c r="K19" s="841"/>
      <c r="L19" s="841"/>
      <c r="M19" s="841"/>
      <c r="N19" s="841"/>
      <c r="O19" s="841"/>
      <c r="P19" s="841"/>
      <c r="Q19" s="841"/>
      <c r="R19" s="841"/>
      <c r="S19" s="151"/>
    </row>
    <row r="20" spans="1:19" s="8" customFormat="1" ht="15.95" customHeight="1">
      <c r="A20" s="151"/>
      <c r="B20" s="841"/>
      <c r="C20" s="841"/>
      <c r="D20" s="841"/>
      <c r="E20" s="841"/>
      <c r="F20" s="841"/>
      <c r="G20" s="841"/>
      <c r="H20" s="841"/>
      <c r="I20" s="841"/>
      <c r="J20" s="841"/>
      <c r="K20" s="841"/>
      <c r="L20" s="841"/>
      <c r="M20" s="841"/>
      <c r="N20" s="841"/>
      <c r="O20" s="841"/>
      <c r="P20" s="841"/>
      <c r="Q20" s="841"/>
      <c r="R20" s="841"/>
      <c r="S20" s="151"/>
    </row>
    <row r="21" spans="1:19" s="4" customFormat="1" ht="15">
      <c r="A21" s="49"/>
      <c r="B21" s="151"/>
      <c r="C21" s="151"/>
      <c r="D21" s="151"/>
      <c r="E21" s="151"/>
      <c r="F21" s="151"/>
      <c r="G21" s="151"/>
      <c r="H21" s="151"/>
      <c r="I21" s="151"/>
      <c r="J21" s="151"/>
      <c r="K21" s="151"/>
      <c r="L21" s="151"/>
      <c r="M21" s="151"/>
      <c r="N21" s="151"/>
      <c r="O21" s="49"/>
      <c r="P21" s="49"/>
      <c r="Q21" s="49"/>
      <c r="R21" s="49"/>
      <c r="S21" s="49"/>
    </row>
    <row r="22" spans="1:19" s="4" customFormat="1" ht="15.75" customHeight="1">
      <c r="A22" s="49"/>
      <c r="B22" s="50" t="s">
        <v>10</v>
      </c>
      <c r="C22" s="843" t="s">
        <v>11</v>
      </c>
      <c r="D22" s="843"/>
      <c r="E22" s="843"/>
      <c r="F22" s="843"/>
      <c r="G22" s="843"/>
      <c r="H22" s="843"/>
      <c r="I22" s="843"/>
      <c r="J22" s="843"/>
      <c r="K22" s="843"/>
      <c r="L22" s="843"/>
      <c r="M22" s="843"/>
      <c r="N22" s="843"/>
      <c r="O22" s="843"/>
      <c r="P22" s="843"/>
      <c r="Q22" s="843"/>
      <c r="R22" s="843"/>
      <c r="S22" s="49"/>
    </row>
    <row r="23" spans="1:19" s="4" customFormat="1" ht="15" customHeight="1">
      <c r="A23" s="49"/>
      <c r="B23" s="49"/>
      <c r="C23" s="843"/>
      <c r="D23" s="843"/>
      <c r="E23" s="843"/>
      <c r="F23" s="843"/>
      <c r="G23" s="843"/>
      <c r="H23" s="843"/>
      <c r="I23" s="843"/>
      <c r="J23" s="843"/>
      <c r="K23" s="843"/>
      <c r="L23" s="843"/>
      <c r="M23" s="843"/>
      <c r="N23" s="843"/>
      <c r="O23" s="843"/>
      <c r="P23" s="843"/>
      <c r="Q23" s="843"/>
      <c r="R23" s="843"/>
      <c r="S23" s="49"/>
    </row>
    <row r="24" spans="1:19" s="4" customFormat="1" ht="15">
      <c r="A24" s="49"/>
      <c r="B24" s="51"/>
      <c r="C24" s="843"/>
      <c r="D24" s="843"/>
      <c r="E24" s="843"/>
      <c r="F24" s="843"/>
      <c r="G24" s="843"/>
      <c r="H24" s="843"/>
      <c r="I24" s="843"/>
      <c r="J24" s="843"/>
      <c r="K24" s="843"/>
      <c r="L24" s="843"/>
      <c r="M24" s="843"/>
      <c r="N24" s="843"/>
      <c r="O24" s="843"/>
      <c r="P24" s="843"/>
      <c r="Q24" s="843"/>
      <c r="R24" s="843"/>
      <c r="S24" s="49"/>
    </row>
    <row r="25" spans="1:19" s="4" customFormat="1" ht="15">
      <c r="A25" s="49"/>
      <c r="B25" s="51"/>
      <c r="C25" s="744"/>
      <c r="D25" s="744"/>
      <c r="E25" s="744"/>
      <c r="F25" s="744"/>
      <c r="G25" s="744"/>
      <c r="H25" s="744"/>
      <c r="I25" s="744"/>
      <c r="J25" s="744"/>
      <c r="K25" s="744"/>
      <c r="L25" s="744"/>
      <c r="M25" s="744"/>
      <c r="N25" s="744"/>
      <c r="O25" s="744"/>
      <c r="P25" s="744"/>
      <c r="Q25" s="744"/>
      <c r="R25" s="744"/>
      <c r="S25" s="49"/>
    </row>
    <row r="26" spans="1:19" s="4" customFormat="1" ht="15" customHeight="1">
      <c r="A26" s="49"/>
      <c r="B26" s="842" t="s">
        <v>12</v>
      </c>
      <c r="C26" s="833" t="s">
        <v>13</v>
      </c>
      <c r="D26" s="833"/>
      <c r="E26" s="833"/>
      <c r="F26" s="833"/>
      <c r="G26" s="833"/>
      <c r="H26" s="833"/>
      <c r="I26" s="833"/>
      <c r="J26" s="833"/>
      <c r="K26" s="833"/>
      <c r="L26" s="833"/>
      <c r="M26" s="833"/>
      <c r="N26" s="833"/>
      <c r="O26" s="833"/>
      <c r="P26" s="833"/>
      <c r="Q26" s="833"/>
      <c r="R26" s="833"/>
      <c r="S26" s="49"/>
    </row>
    <row r="27" spans="1:19" s="4" customFormat="1" ht="15" customHeight="1">
      <c r="A27" s="49"/>
      <c r="B27" s="842"/>
      <c r="C27" s="833"/>
      <c r="D27" s="833"/>
      <c r="E27" s="833"/>
      <c r="F27" s="833"/>
      <c r="G27" s="833"/>
      <c r="H27" s="833"/>
      <c r="I27" s="833"/>
      <c r="J27" s="833"/>
      <c r="K27" s="833"/>
      <c r="L27" s="833"/>
      <c r="M27" s="833"/>
      <c r="N27" s="833"/>
      <c r="O27" s="833"/>
      <c r="P27" s="833"/>
      <c r="Q27" s="833"/>
      <c r="R27" s="833"/>
      <c r="S27" s="49"/>
    </row>
    <row r="28" spans="1:19" s="4" customFormat="1" ht="15">
      <c r="A28" s="49"/>
      <c r="B28" s="51"/>
      <c r="C28" s="833"/>
      <c r="D28" s="833"/>
      <c r="E28" s="833"/>
      <c r="F28" s="833"/>
      <c r="G28" s="833"/>
      <c r="H28" s="833"/>
      <c r="I28" s="833"/>
      <c r="J28" s="833"/>
      <c r="K28" s="833"/>
      <c r="L28" s="833"/>
      <c r="M28" s="833"/>
      <c r="N28" s="833"/>
      <c r="O28" s="833"/>
      <c r="P28" s="833"/>
      <c r="Q28" s="833"/>
      <c r="R28" s="833"/>
      <c r="S28" s="49"/>
    </row>
    <row r="29" spans="1:19" s="4" customFormat="1" ht="15">
      <c r="A29" s="49"/>
      <c r="B29" s="51"/>
      <c r="C29" s="743"/>
      <c r="D29" s="743"/>
      <c r="E29" s="743"/>
      <c r="F29" s="743"/>
      <c r="G29" s="743"/>
      <c r="H29" s="743"/>
      <c r="I29" s="743"/>
      <c r="J29" s="743"/>
      <c r="K29" s="743"/>
      <c r="L29" s="743"/>
      <c r="M29" s="743"/>
      <c r="N29" s="743"/>
      <c r="O29" s="743"/>
      <c r="P29" s="743"/>
      <c r="Q29" s="743"/>
      <c r="R29" s="743"/>
      <c r="S29" s="49"/>
    </row>
    <row r="30" spans="1:19" s="4" customFormat="1" ht="15" customHeight="1">
      <c r="A30" s="49"/>
      <c r="B30" s="50" t="s">
        <v>14</v>
      </c>
      <c r="C30" s="833" t="s">
        <v>15</v>
      </c>
      <c r="D30" s="833"/>
      <c r="E30" s="833"/>
      <c r="F30" s="833"/>
      <c r="G30" s="833"/>
      <c r="H30" s="833"/>
      <c r="I30" s="833"/>
      <c r="J30" s="833"/>
      <c r="K30" s="833"/>
      <c r="L30" s="833"/>
      <c r="M30" s="833"/>
      <c r="N30" s="833"/>
      <c r="O30" s="833"/>
      <c r="P30" s="833"/>
      <c r="Q30" s="833"/>
      <c r="R30" s="833"/>
      <c r="S30" s="49"/>
    </row>
    <row r="31" spans="1:19" s="4" customFormat="1" ht="15">
      <c r="A31" s="49"/>
      <c r="B31" s="51"/>
      <c r="C31" s="49"/>
      <c r="D31" s="49"/>
      <c r="E31" s="49"/>
      <c r="F31" s="49"/>
      <c r="G31" s="49"/>
      <c r="H31" s="49"/>
      <c r="I31" s="49"/>
      <c r="J31" s="49"/>
      <c r="K31" s="49"/>
      <c r="L31" s="49"/>
      <c r="M31" s="49"/>
      <c r="N31" s="49"/>
      <c r="O31" s="49"/>
      <c r="P31" s="49"/>
      <c r="Q31" s="49"/>
      <c r="R31" s="49"/>
      <c r="S31" s="49"/>
    </row>
    <row r="32" spans="1:19" s="4" customFormat="1" ht="15" customHeight="1">
      <c r="A32" s="49"/>
      <c r="B32" s="52" t="s">
        <v>16</v>
      </c>
      <c r="C32" s="844" t="s">
        <v>17</v>
      </c>
      <c r="D32" s="844"/>
      <c r="E32" s="844"/>
      <c r="F32" s="844"/>
      <c r="G32" s="844"/>
      <c r="H32" s="844"/>
      <c r="I32" s="844"/>
      <c r="J32" s="844"/>
      <c r="K32" s="844"/>
      <c r="L32" s="844"/>
      <c r="M32" s="844"/>
      <c r="N32" s="844"/>
      <c r="O32" s="844"/>
      <c r="P32" s="844"/>
      <c r="Q32" s="844"/>
      <c r="R32" s="844"/>
      <c r="S32" s="49"/>
    </row>
    <row r="33" spans="1:19" s="4" customFormat="1" ht="15" customHeight="1">
      <c r="A33" s="49"/>
      <c r="B33" s="53"/>
      <c r="C33" s="745"/>
      <c r="D33" s="745"/>
      <c r="E33" s="745"/>
      <c r="F33" s="745"/>
      <c r="G33" s="745"/>
      <c r="H33" s="745"/>
      <c r="I33" s="745"/>
      <c r="J33" s="745"/>
      <c r="K33" s="745"/>
      <c r="L33" s="745"/>
      <c r="M33" s="745"/>
      <c r="N33" s="745"/>
      <c r="O33" s="745"/>
      <c r="P33" s="745"/>
      <c r="Q33" s="745"/>
      <c r="R33" s="745"/>
      <c r="S33" s="49"/>
    </row>
    <row r="34" spans="1:19" s="4" customFormat="1" ht="15" customHeight="1">
      <c r="A34" s="49"/>
      <c r="B34" s="53"/>
      <c r="C34" s="745"/>
      <c r="D34" s="745"/>
      <c r="E34" s="745"/>
      <c r="F34" s="745"/>
      <c r="G34" s="745"/>
      <c r="H34" s="745"/>
      <c r="I34" s="745"/>
      <c r="J34" s="745"/>
      <c r="K34" s="745"/>
      <c r="L34" s="745"/>
      <c r="M34" s="745"/>
      <c r="N34" s="745"/>
      <c r="O34" s="745"/>
      <c r="P34" s="745"/>
      <c r="Q34" s="745"/>
      <c r="R34" s="745"/>
      <c r="S34" s="49"/>
    </row>
    <row r="35" spans="1:19" s="4" customFormat="1" ht="15" customHeight="1">
      <c r="A35" s="49"/>
      <c r="B35" s="149" t="s">
        <v>18</v>
      </c>
      <c r="C35" s="745"/>
      <c r="D35" s="745"/>
      <c r="E35" s="745"/>
      <c r="F35" s="745"/>
      <c r="G35" s="745"/>
      <c r="H35" s="745"/>
      <c r="I35" s="745"/>
      <c r="J35" s="745"/>
      <c r="K35" s="745"/>
      <c r="L35" s="745"/>
      <c r="M35" s="745"/>
      <c r="N35" s="745"/>
      <c r="O35" s="745"/>
      <c r="P35" s="745"/>
      <c r="Q35" s="745"/>
      <c r="R35" s="745"/>
      <c r="S35" s="49"/>
    </row>
    <row r="36" spans="1:19" s="4" customFormat="1" ht="15" customHeight="1">
      <c r="A36" s="49"/>
      <c r="B36" s="149"/>
      <c r="C36" s="745"/>
      <c r="D36" s="745"/>
      <c r="E36" s="745"/>
      <c r="F36" s="745"/>
      <c r="G36" s="745"/>
      <c r="H36" s="745"/>
      <c r="I36" s="745"/>
      <c r="J36" s="745"/>
      <c r="K36" s="745"/>
      <c r="L36" s="745"/>
      <c r="M36" s="745"/>
      <c r="N36" s="745"/>
      <c r="O36" s="745"/>
      <c r="P36" s="745"/>
      <c r="Q36" s="745"/>
      <c r="R36" s="745"/>
      <c r="S36" s="49"/>
    </row>
    <row r="37" spans="1:19" s="4" customFormat="1" ht="15" customHeight="1">
      <c r="A37" s="49"/>
      <c r="B37" s="149"/>
      <c r="C37" s="745"/>
      <c r="D37" s="745"/>
      <c r="E37" s="745"/>
      <c r="F37" s="745"/>
      <c r="G37" s="745"/>
      <c r="H37" s="745"/>
      <c r="I37" s="745"/>
      <c r="J37" s="745"/>
      <c r="K37" s="745"/>
      <c r="L37" s="745"/>
      <c r="M37" s="745"/>
      <c r="N37" s="745"/>
      <c r="O37" s="745"/>
      <c r="P37" s="745"/>
      <c r="Q37" s="745"/>
      <c r="R37" s="745"/>
      <c r="S37" s="49"/>
    </row>
    <row r="38" spans="1:19" s="4" customFormat="1" ht="15.75" customHeight="1">
      <c r="A38" s="49"/>
      <c r="B38" s="158" t="s">
        <v>19</v>
      </c>
      <c r="C38" s="832" t="s">
        <v>20</v>
      </c>
      <c r="D38" s="832"/>
      <c r="E38" s="832"/>
      <c r="F38" s="832"/>
      <c r="G38" s="832"/>
      <c r="H38" s="832"/>
      <c r="I38" s="832"/>
      <c r="J38" s="832"/>
      <c r="K38" s="832"/>
      <c r="L38" s="832"/>
      <c r="M38" s="832"/>
      <c r="N38" s="832"/>
      <c r="O38" s="832"/>
      <c r="P38" s="832"/>
      <c r="Q38" s="832"/>
      <c r="R38" s="49"/>
      <c r="S38" s="49"/>
    </row>
    <row r="39" spans="1:19" s="4" customFormat="1" ht="15.75" customHeight="1">
      <c r="A39" s="49"/>
      <c r="R39" s="49"/>
      <c r="S39" s="49"/>
    </row>
    <row r="40" spans="1:19" s="4" customFormat="1" ht="15">
      <c r="A40" s="49"/>
      <c r="B40" s="149" t="s">
        <v>21</v>
      </c>
      <c r="C40" s="149" t="s">
        <v>21</v>
      </c>
      <c r="D40" s="149" t="s">
        <v>21</v>
      </c>
      <c r="E40" s="149" t="s">
        <v>21</v>
      </c>
      <c r="F40" s="149" t="s">
        <v>21</v>
      </c>
      <c r="G40" s="149" t="s">
        <v>21</v>
      </c>
      <c r="H40" s="149" t="s">
        <v>21</v>
      </c>
      <c r="I40" s="149" t="s">
        <v>21</v>
      </c>
      <c r="J40" s="149" t="s">
        <v>21</v>
      </c>
      <c r="K40" s="149" t="s">
        <v>21</v>
      </c>
      <c r="L40" s="54" t="s">
        <v>21</v>
      </c>
      <c r="M40" s="49"/>
      <c r="N40" s="49"/>
      <c r="O40" s="49"/>
      <c r="P40" s="49"/>
      <c r="Q40" s="49"/>
      <c r="R40" s="49"/>
      <c r="S40" s="49"/>
    </row>
    <row r="41" spans="1:19" s="4" customFormat="1" ht="18" customHeight="1">
      <c r="A41" s="49"/>
      <c r="B41" s="438" t="s">
        <v>22</v>
      </c>
      <c r="C41" s="845" t="s">
        <v>23</v>
      </c>
      <c r="D41" s="845"/>
      <c r="E41" s="845"/>
      <c r="F41" s="845"/>
      <c r="G41" s="845"/>
      <c r="H41" s="845"/>
      <c r="I41" s="845"/>
      <c r="J41" s="845"/>
      <c r="K41" s="845"/>
      <c r="L41" s="845"/>
      <c r="M41" s="845"/>
      <c r="N41" s="845"/>
      <c r="O41" s="845"/>
      <c r="P41" s="845"/>
      <c r="Q41" s="845"/>
      <c r="R41" s="49"/>
      <c r="S41" s="49"/>
    </row>
    <row r="42" spans="1:19" s="4" customFormat="1" ht="18" customHeight="1">
      <c r="A42" s="49"/>
      <c r="B42" s="52"/>
      <c r="C42" s="845"/>
      <c r="D42" s="845"/>
      <c r="E42" s="845"/>
      <c r="F42" s="845"/>
      <c r="G42" s="845"/>
      <c r="H42" s="845"/>
      <c r="I42" s="845"/>
      <c r="J42" s="845"/>
      <c r="K42" s="845"/>
      <c r="L42" s="845"/>
      <c r="M42" s="845"/>
      <c r="N42" s="845"/>
      <c r="O42" s="845"/>
      <c r="P42" s="845"/>
      <c r="Q42" s="845"/>
      <c r="R42" s="49"/>
      <c r="S42" s="49"/>
    </row>
    <row r="43" spans="1:19" s="4" customFormat="1" ht="71.25" customHeight="1">
      <c r="A43" s="49"/>
      <c r="B43" s="54"/>
      <c r="C43" s="845"/>
      <c r="D43" s="845"/>
      <c r="E43" s="845"/>
      <c r="F43" s="845"/>
      <c r="G43" s="845"/>
      <c r="H43" s="845"/>
      <c r="I43" s="845"/>
      <c r="J43" s="845"/>
      <c r="K43" s="845"/>
      <c r="L43" s="845"/>
      <c r="M43" s="845"/>
      <c r="N43" s="845"/>
      <c r="O43" s="845"/>
      <c r="P43" s="845"/>
      <c r="Q43" s="845"/>
      <c r="R43"/>
      <c r="S43"/>
    </row>
    <row r="44" spans="1:19" s="4" customFormat="1" ht="15">
      <c r="A44" s="49"/>
      <c r="C44" s="151"/>
      <c r="D44" s="151"/>
      <c r="E44" s="151"/>
      <c r="F44" s="151"/>
      <c r="G44" s="151"/>
      <c r="H44" s="151"/>
      <c r="I44" s="151"/>
      <c r="J44" s="151"/>
      <c r="K44" s="151"/>
      <c r="L44" s="151"/>
      <c r="M44" s="151"/>
      <c r="N44" s="49"/>
      <c r="O44" s="49"/>
      <c r="P44" s="49"/>
      <c r="Q44" s="49"/>
      <c r="R44" s="49"/>
      <c r="S44" s="49"/>
    </row>
    <row r="45" spans="1:19" s="4" customFormat="1" ht="15.75" customHeight="1">
      <c r="A45" s="49"/>
      <c r="B45" s="438" t="s">
        <v>24</v>
      </c>
      <c r="C45" s="846" t="s">
        <v>25</v>
      </c>
      <c r="D45" s="846"/>
      <c r="E45" s="846"/>
      <c r="F45" s="846"/>
      <c r="G45" s="846"/>
      <c r="H45" s="846"/>
      <c r="I45" s="846"/>
      <c r="J45" s="846"/>
      <c r="K45" s="846"/>
      <c r="L45" s="846"/>
      <c r="M45" s="846"/>
      <c r="N45" s="846"/>
      <c r="O45" s="846"/>
      <c r="P45" s="846"/>
      <c r="Q45" s="846"/>
      <c r="R45" s="151"/>
      <c r="S45" s="151"/>
    </row>
    <row r="46" spans="1:19" s="4" customFormat="1" ht="15" customHeight="1">
      <c r="A46" s="49"/>
      <c r="C46" s="846"/>
      <c r="D46" s="846"/>
      <c r="E46" s="846"/>
      <c r="F46" s="846"/>
      <c r="G46" s="846"/>
      <c r="H46" s="846"/>
      <c r="I46" s="846"/>
      <c r="J46" s="846"/>
      <c r="K46" s="846"/>
      <c r="L46" s="846"/>
      <c r="M46" s="846"/>
      <c r="N46" s="846"/>
      <c r="O46" s="846"/>
      <c r="P46" s="846"/>
      <c r="Q46" s="846"/>
      <c r="R46" s="151"/>
      <c r="S46" s="151"/>
    </row>
    <row r="47" spans="1:19" s="4" customFormat="1" ht="15" customHeight="1">
      <c r="A47" s="49"/>
      <c r="C47" s="441"/>
      <c r="D47" s="441"/>
      <c r="E47" s="441"/>
      <c r="F47" s="441"/>
      <c r="G47" s="441"/>
      <c r="H47" s="441"/>
      <c r="I47" s="441"/>
      <c r="J47" s="441"/>
      <c r="K47" s="441"/>
      <c r="L47" s="441"/>
      <c r="M47" s="441"/>
      <c r="N47" s="441"/>
      <c r="O47" s="441"/>
      <c r="P47" s="441"/>
      <c r="Q47" s="441"/>
      <c r="R47" s="151"/>
      <c r="S47" s="151"/>
    </row>
    <row r="48" spans="1:19" s="4" customFormat="1" ht="15" customHeight="1">
      <c r="A48" s="49"/>
      <c r="C48" s="441"/>
      <c r="D48" s="441"/>
      <c r="E48" s="441"/>
      <c r="F48" s="441"/>
      <c r="G48" s="441"/>
      <c r="H48" s="441"/>
      <c r="I48" s="441"/>
      <c r="J48" s="441"/>
      <c r="K48" s="441"/>
      <c r="L48" s="441"/>
      <c r="M48" s="441"/>
      <c r="N48" s="441"/>
      <c r="O48" s="441"/>
      <c r="P48" s="441"/>
      <c r="Q48" s="441"/>
      <c r="R48" s="151"/>
      <c r="S48" s="151"/>
    </row>
    <row r="49" spans="1:19" s="4" customFormat="1" ht="15" customHeight="1">
      <c r="A49" s="49"/>
      <c r="B49" s="438" t="s">
        <v>26</v>
      </c>
      <c r="C49" s="833" t="s">
        <v>27</v>
      </c>
      <c r="D49" s="833"/>
      <c r="E49" s="833"/>
      <c r="F49" s="833"/>
      <c r="G49" s="833"/>
      <c r="H49" s="833"/>
      <c r="I49" s="833"/>
      <c r="J49" s="833"/>
      <c r="K49" s="833"/>
      <c r="L49" s="833"/>
      <c r="M49" s="833"/>
      <c r="N49" s="833"/>
      <c r="O49" s="833"/>
      <c r="P49" s="833"/>
      <c r="Q49" s="833"/>
      <c r="R49" s="151"/>
      <c r="S49" s="151"/>
    </row>
    <row r="50" spans="1:19" s="4" customFormat="1" ht="15" customHeight="1">
      <c r="A50" s="49"/>
      <c r="C50" s="833"/>
      <c r="D50" s="833"/>
      <c r="E50" s="833"/>
      <c r="F50" s="833"/>
      <c r="G50" s="833"/>
      <c r="H50" s="833"/>
      <c r="I50" s="833"/>
      <c r="J50" s="833"/>
      <c r="K50" s="833"/>
      <c r="L50" s="833"/>
      <c r="M50" s="833"/>
      <c r="N50" s="833"/>
      <c r="O50" s="833"/>
      <c r="P50" s="833"/>
      <c r="Q50" s="833"/>
      <c r="R50" s="151"/>
      <c r="S50" s="151"/>
    </row>
    <row r="51" spans="1:19" s="4" customFormat="1" ht="15" customHeight="1">
      <c r="A51" s="49"/>
      <c r="C51" s="441"/>
      <c r="D51" s="441"/>
      <c r="E51" s="441"/>
      <c r="F51" s="441"/>
      <c r="G51" s="441"/>
      <c r="H51" s="441"/>
      <c r="I51" s="441"/>
      <c r="J51" s="441"/>
      <c r="K51" s="441"/>
      <c r="L51" s="441"/>
      <c r="M51" s="441"/>
      <c r="N51" s="441"/>
      <c r="O51" s="441"/>
      <c r="P51" s="441"/>
      <c r="Q51" s="441"/>
      <c r="R51" s="151"/>
      <c r="S51" s="151"/>
    </row>
    <row r="52" spans="1:19" s="4" customFormat="1">
      <c r="A52" s="49"/>
      <c r="B52" s="150"/>
      <c r="C52" s="51"/>
      <c r="D52" s="151"/>
      <c r="E52" s="151"/>
      <c r="F52" s="49"/>
      <c r="G52" s="49"/>
      <c r="H52" s="49"/>
      <c r="I52" s="49"/>
      <c r="J52" s="49"/>
      <c r="K52" s="49"/>
      <c r="L52" s="49"/>
      <c r="M52" s="49"/>
      <c r="N52" s="49"/>
      <c r="O52" s="49"/>
      <c r="P52" s="49"/>
      <c r="Q52" s="49"/>
      <c r="R52" s="49"/>
      <c r="S52" s="153"/>
    </row>
    <row r="53" spans="1:19" s="4" customFormat="1" ht="15" customHeight="1">
      <c r="A53" s="49"/>
      <c r="B53" s="438" t="s">
        <v>28</v>
      </c>
      <c r="C53" s="846" t="s">
        <v>29</v>
      </c>
      <c r="D53" s="846"/>
      <c r="E53" s="846"/>
      <c r="F53" s="846"/>
      <c r="G53" s="846"/>
      <c r="H53" s="846"/>
      <c r="I53" s="846"/>
      <c r="J53" s="846"/>
      <c r="K53" s="846"/>
      <c r="L53" s="846"/>
      <c r="M53" s="846"/>
      <c r="N53" s="846"/>
      <c r="O53" s="846"/>
      <c r="P53" s="846"/>
      <c r="Q53" s="846"/>
      <c r="R53" s="49"/>
      <c r="S53" s="49"/>
    </row>
    <row r="54" spans="1:19" s="4" customFormat="1" ht="15.95" customHeight="1">
      <c r="A54" s="49"/>
      <c r="B54" s="150"/>
      <c r="C54" s="441"/>
      <c r="D54" s="441"/>
      <c r="E54" s="441"/>
      <c r="F54" s="441"/>
      <c r="G54" s="441"/>
      <c r="H54" s="441"/>
      <c r="I54" s="441"/>
      <c r="J54" s="441"/>
      <c r="K54" s="441"/>
      <c r="L54" s="441"/>
      <c r="M54" s="441"/>
      <c r="N54" s="441"/>
      <c r="O54" s="441"/>
      <c r="P54" s="441"/>
      <c r="Q54" s="441"/>
      <c r="R54" s="153"/>
      <c r="S54" s="153"/>
    </row>
    <row r="55" spans="1:19" s="4" customFormat="1" ht="15">
      <c r="A55" s="49"/>
      <c r="B55" s="56"/>
      <c r="C55" s="441"/>
      <c r="D55" s="441"/>
      <c r="E55" s="441"/>
      <c r="F55" s="441"/>
      <c r="G55" s="441"/>
      <c r="H55" s="441"/>
      <c r="I55" s="441"/>
      <c r="J55" s="441"/>
      <c r="K55" s="441"/>
      <c r="L55" s="441"/>
      <c r="M55" s="441"/>
      <c r="N55" s="441"/>
      <c r="O55" s="441"/>
      <c r="P55" s="441"/>
      <c r="Q55" s="441"/>
      <c r="R55" s="49"/>
      <c r="S55" s="49"/>
    </row>
    <row r="56" spans="1:19" s="4" customFormat="1" ht="15.95" customHeight="1">
      <c r="A56" s="49"/>
      <c r="B56" s="150"/>
      <c r="C56" s="51"/>
      <c r="D56" s="51"/>
      <c r="E56" s="153"/>
      <c r="F56" s="153"/>
      <c r="G56" s="153"/>
      <c r="H56" s="153"/>
      <c r="I56" s="153"/>
      <c r="J56" s="153"/>
      <c r="K56" s="153"/>
      <c r="L56" s="153"/>
      <c r="M56" s="153"/>
      <c r="N56" s="153"/>
      <c r="O56" s="153"/>
      <c r="P56" s="153"/>
      <c r="Q56" s="153"/>
      <c r="R56" s="153"/>
      <c r="S56" s="153"/>
    </row>
    <row r="57" spans="1:19" s="4" customFormat="1" ht="15" customHeight="1">
      <c r="A57" s="49"/>
      <c r="B57" s="438" t="s">
        <v>30</v>
      </c>
      <c r="C57" s="832" t="s">
        <v>31</v>
      </c>
      <c r="D57" s="832"/>
      <c r="E57" s="832"/>
      <c r="F57" s="832"/>
      <c r="G57" s="832"/>
      <c r="H57" s="832"/>
      <c r="I57" s="832"/>
      <c r="J57" s="832"/>
      <c r="K57" s="832"/>
      <c r="L57" s="832"/>
      <c r="M57" s="832"/>
      <c r="N57" s="832"/>
      <c r="O57" s="832"/>
      <c r="P57" s="832"/>
      <c r="Q57" s="832"/>
      <c r="R57" s="49"/>
      <c r="S57" s="49"/>
    </row>
    <row r="58" spans="1:19" s="4" customFormat="1">
      <c r="A58" s="49"/>
      <c r="B58" s="56"/>
      <c r="C58" s="442"/>
      <c r="D58" s="442"/>
      <c r="E58" s="442"/>
      <c r="F58" s="442"/>
      <c r="G58" s="442"/>
      <c r="H58" s="442"/>
      <c r="I58" s="442"/>
      <c r="J58" s="442"/>
      <c r="K58" s="442"/>
      <c r="L58" s="442"/>
      <c r="M58" s="442"/>
      <c r="N58" s="442"/>
      <c r="O58" s="442"/>
      <c r="P58" s="442"/>
      <c r="Q58" s="442"/>
      <c r="R58" s="153"/>
      <c r="S58" s="153"/>
    </row>
    <row r="59" spans="1:19" s="4" customFormat="1" ht="15">
      <c r="A59" s="49"/>
      <c r="B59" s="57"/>
      <c r="C59" s="442"/>
      <c r="D59" s="442"/>
      <c r="E59" s="442"/>
      <c r="F59" s="442"/>
      <c r="G59" s="442"/>
      <c r="H59" s="442"/>
      <c r="I59" s="442"/>
      <c r="J59" s="442"/>
      <c r="K59" s="442"/>
      <c r="L59" s="442"/>
      <c r="M59" s="442"/>
      <c r="N59" s="442"/>
      <c r="O59" s="442"/>
      <c r="P59" s="442"/>
      <c r="Q59" s="442"/>
      <c r="R59" s="49"/>
      <c r="S59" s="49"/>
    </row>
    <row r="60" spans="1:19" s="4" customFormat="1">
      <c r="A60" s="49"/>
      <c r="B60" s="56"/>
      <c r="C60" s="49"/>
      <c r="D60" s="745"/>
      <c r="E60" s="745"/>
      <c r="F60" s="49"/>
      <c r="G60" s="49"/>
      <c r="H60" s="49"/>
      <c r="I60" s="49"/>
      <c r="J60" s="49"/>
      <c r="K60" s="49"/>
      <c r="L60" s="153"/>
      <c r="M60" s="153"/>
      <c r="N60" s="153"/>
      <c r="O60" s="153"/>
      <c r="P60" s="153"/>
      <c r="Q60" s="153"/>
      <c r="R60" s="153"/>
      <c r="S60" s="153"/>
    </row>
    <row r="61" spans="1:19" s="4" customFormat="1" ht="15" customHeight="1">
      <c r="A61" s="49"/>
      <c r="B61" s="438" t="s">
        <v>32</v>
      </c>
      <c r="C61" s="833" t="s">
        <v>33</v>
      </c>
      <c r="D61" s="833"/>
      <c r="E61" s="833"/>
      <c r="F61" s="833"/>
      <c r="G61" s="833"/>
      <c r="H61" s="833"/>
      <c r="I61" s="833"/>
      <c r="J61" s="833"/>
      <c r="K61" s="833"/>
      <c r="L61" s="833"/>
      <c r="M61" s="833"/>
      <c r="N61" s="833"/>
      <c r="O61" s="833"/>
      <c r="P61" s="833"/>
      <c r="Q61" s="833"/>
      <c r="R61" s="49"/>
      <c r="S61" s="49"/>
    </row>
    <row r="62" spans="1:19" s="4" customFormat="1">
      <c r="A62" s="49"/>
      <c r="B62" s="56"/>
      <c r="C62" s="833"/>
      <c r="D62" s="833"/>
      <c r="E62" s="833"/>
      <c r="F62" s="833"/>
      <c r="G62" s="833"/>
      <c r="H62" s="833"/>
      <c r="I62" s="833"/>
      <c r="J62" s="833"/>
      <c r="K62" s="833"/>
      <c r="L62" s="833"/>
      <c r="M62" s="833"/>
      <c r="N62" s="833"/>
      <c r="O62" s="833"/>
      <c r="P62" s="833"/>
      <c r="Q62" s="833"/>
      <c r="R62" s="153"/>
      <c r="S62" s="153"/>
    </row>
    <row r="63" spans="1:19" s="4" customFormat="1" ht="15">
      <c r="A63" s="49"/>
      <c r="B63" s="56"/>
      <c r="C63" s="442"/>
      <c r="D63" s="442"/>
      <c r="E63" s="442"/>
      <c r="F63" s="442"/>
      <c r="G63" s="442"/>
      <c r="H63" s="442"/>
      <c r="I63" s="442"/>
      <c r="J63" s="442"/>
      <c r="K63" s="442"/>
      <c r="L63" s="442"/>
      <c r="M63" s="442"/>
      <c r="N63" s="442"/>
      <c r="O63" s="442"/>
      <c r="P63" s="442"/>
      <c r="Q63" s="442"/>
      <c r="R63" s="49"/>
      <c r="S63" s="49"/>
    </row>
    <row r="64" spans="1:19" s="4" customFormat="1">
      <c r="A64" s="49"/>
      <c r="B64" s="56"/>
      <c r="C64" s="49"/>
      <c r="D64" s="745"/>
      <c r="E64" s="745"/>
      <c r="F64" s="745"/>
      <c r="G64" s="745"/>
      <c r="H64" s="745"/>
      <c r="I64" s="745"/>
      <c r="J64" s="49"/>
      <c r="K64" s="49"/>
      <c r="L64" s="49"/>
      <c r="M64" s="49"/>
      <c r="N64" s="49"/>
      <c r="O64" s="49"/>
      <c r="P64" s="153"/>
      <c r="Q64" s="153"/>
      <c r="R64" s="153"/>
      <c r="S64" s="153"/>
    </row>
    <row r="65" spans="1:19" s="4" customFormat="1" ht="15">
      <c r="A65" s="49"/>
      <c r="B65" s="155" t="s">
        <v>34</v>
      </c>
      <c r="C65" s="834" t="s">
        <v>35</v>
      </c>
      <c r="D65" s="834"/>
      <c r="E65" s="834"/>
      <c r="F65" s="834"/>
      <c r="G65" s="834"/>
      <c r="H65" s="834"/>
      <c r="I65" s="834"/>
      <c r="J65" s="834"/>
      <c r="K65" s="834"/>
      <c r="L65" s="834"/>
      <c r="M65" s="834"/>
      <c r="N65" s="834"/>
      <c r="O65" s="834"/>
      <c r="P65" s="834"/>
      <c r="Q65" s="49"/>
      <c r="R65" s="49"/>
      <c r="S65" s="49"/>
    </row>
    <row r="66" spans="1:19" s="4" customFormat="1">
      <c r="A66" s="49"/>
      <c r="B66" s="56"/>
      <c r="C66" s="834"/>
      <c r="D66" s="834"/>
      <c r="E66" s="834"/>
      <c r="F66" s="834"/>
      <c r="G66" s="834"/>
      <c r="H66" s="834"/>
      <c r="I66" s="834"/>
      <c r="J66" s="834"/>
      <c r="K66" s="834"/>
      <c r="L66" s="834"/>
      <c r="M66" s="834"/>
      <c r="N66" s="834"/>
      <c r="O66" s="834"/>
      <c r="P66" s="834"/>
      <c r="Q66" s="153"/>
      <c r="R66" s="153"/>
      <c r="S66" s="153"/>
    </row>
    <row r="67" spans="1:19" s="4" customFormat="1" ht="15">
      <c r="A67" s="49"/>
      <c r="B67" s="56"/>
      <c r="C67" s="834"/>
      <c r="D67" s="834"/>
      <c r="E67" s="834"/>
      <c r="F67" s="834"/>
      <c r="G67" s="834"/>
      <c r="H67" s="834"/>
      <c r="I67" s="834"/>
      <c r="J67" s="834"/>
      <c r="K67" s="834"/>
      <c r="L67" s="834"/>
      <c r="M67" s="834"/>
      <c r="N67" s="834"/>
      <c r="O67" s="834"/>
      <c r="P67" s="834"/>
      <c r="Q67" s="49"/>
      <c r="R67" s="49"/>
      <c r="S67" s="49"/>
    </row>
    <row r="68" spans="1:19" s="4" customFormat="1">
      <c r="A68" s="49"/>
      <c r="B68" s="56"/>
      <c r="C68" s="49"/>
      <c r="D68" s="745"/>
      <c r="E68" s="49"/>
      <c r="F68" s="49"/>
      <c r="G68" s="49"/>
      <c r="H68" s="49"/>
      <c r="I68" s="49"/>
      <c r="J68" s="49"/>
      <c r="K68" s="153"/>
      <c r="L68" s="153"/>
      <c r="M68" s="153"/>
      <c r="N68" s="153"/>
      <c r="O68" s="153"/>
      <c r="P68" s="153"/>
      <c r="Q68" s="153"/>
      <c r="R68" s="153"/>
      <c r="S68" s="153"/>
    </row>
    <row r="69" spans="1:19" s="4" customFormat="1" ht="15">
      <c r="A69" s="49"/>
      <c r="B69" s="155" t="s">
        <v>36</v>
      </c>
      <c r="C69" s="834" t="s">
        <v>37</v>
      </c>
      <c r="D69" s="834"/>
      <c r="E69" s="834"/>
      <c r="F69" s="834"/>
      <c r="G69" s="834"/>
      <c r="H69" s="834"/>
      <c r="I69" s="834"/>
      <c r="J69" s="834"/>
      <c r="K69" s="834"/>
      <c r="L69" s="834"/>
      <c r="M69" s="834"/>
      <c r="N69" s="834"/>
      <c r="O69" s="834"/>
      <c r="P69" s="834"/>
      <c r="Q69" s="834"/>
      <c r="R69" s="49"/>
      <c r="S69" s="49"/>
    </row>
    <row r="70" spans="1:19" s="4" customFormat="1">
      <c r="A70" s="49"/>
      <c r="B70" s="56"/>
      <c r="C70" s="834"/>
      <c r="D70" s="834"/>
      <c r="E70" s="834"/>
      <c r="F70" s="834"/>
      <c r="G70" s="834"/>
      <c r="H70" s="834"/>
      <c r="I70" s="834"/>
      <c r="J70" s="834"/>
      <c r="K70" s="834"/>
      <c r="L70" s="834"/>
      <c r="M70" s="834"/>
      <c r="N70" s="834"/>
      <c r="O70" s="834"/>
      <c r="P70" s="834"/>
      <c r="Q70" s="834"/>
      <c r="R70" s="153"/>
      <c r="S70" s="153"/>
    </row>
    <row r="71" spans="1:19" s="4" customFormat="1" ht="15">
      <c r="A71" s="49"/>
      <c r="B71" s="57"/>
      <c r="C71" s="834"/>
      <c r="D71" s="834"/>
      <c r="E71" s="834"/>
      <c r="F71" s="834"/>
      <c r="G71" s="834"/>
      <c r="H71" s="834"/>
      <c r="I71" s="834"/>
      <c r="J71" s="834"/>
      <c r="K71" s="834"/>
      <c r="L71" s="834"/>
      <c r="M71" s="834"/>
      <c r="N71" s="834"/>
      <c r="O71" s="834"/>
      <c r="P71" s="834"/>
      <c r="Q71" s="834"/>
      <c r="R71" s="49"/>
      <c r="S71" s="49"/>
    </row>
    <row r="72" spans="1:19" s="4" customFormat="1">
      <c r="A72" s="49"/>
      <c r="B72" s="56"/>
      <c r="C72" s="49"/>
      <c r="D72" s="49"/>
      <c r="E72" s="49"/>
      <c r="F72" s="49"/>
      <c r="G72" s="49"/>
      <c r="H72" s="49"/>
      <c r="I72" s="745"/>
      <c r="J72" s="49"/>
      <c r="K72" s="49"/>
      <c r="L72" s="49"/>
      <c r="M72" s="49"/>
      <c r="N72" s="49"/>
      <c r="O72" s="49"/>
      <c r="P72" s="153"/>
      <c r="Q72" s="153"/>
      <c r="R72" s="153"/>
      <c r="S72" s="153"/>
    </row>
    <row r="73" spans="1:19" s="4" customFormat="1" ht="15">
      <c r="A73" s="49"/>
      <c r="B73" s="155" t="s">
        <v>38</v>
      </c>
      <c r="C73" s="834" t="s">
        <v>39</v>
      </c>
      <c r="D73" s="834"/>
      <c r="E73" s="834"/>
      <c r="F73" s="834"/>
      <c r="G73" s="834"/>
      <c r="H73" s="834"/>
      <c r="I73" s="834"/>
      <c r="J73" s="834"/>
      <c r="K73" s="834"/>
      <c r="L73" s="834"/>
      <c r="M73" s="834"/>
      <c r="N73" s="834"/>
      <c r="O73" s="834"/>
      <c r="P73" s="834"/>
      <c r="Q73" s="49"/>
      <c r="R73" s="49"/>
      <c r="S73" s="49"/>
    </row>
    <row r="74" spans="1:19" s="4" customFormat="1">
      <c r="A74" s="49"/>
      <c r="B74" s="56"/>
      <c r="C74" s="834"/>
      <c r="D74" s="834"/>
      <c r="E74" s="834"/>
      <c r="F74" s="834"/>
      <c r="G74" s="834"/>
      <c r="H74" s="834"/>
      <c r="I74" s="834"/>
      <c r="J74" s="834"/>
      <c r="K74" s="834"/>
      <c r="L74" s="834"/>
      <c r="M74" s="834"/>
      <c r="N74" s="834"/>
      <c r="O74" s="834"/>
      <c r="P74" s="834"/>
      <c r="Q74" s="153"/>
      <c r="R74" s="153"/>
      <c r="S74" s="153"/>
    </row>
    <row r="75" spans="1:19" s="4" customFormat="1" ht="15">
      <c r="A75" s="49"/>
      <c r="B75" s="58"/>
      <c r="C75" s="54"/>
      <c r="D75" s="54"/>
      <c r="E75" s="54"/>
      <c r="F75" s="54"/>
      <c r="G75" s="54"/>
      <c r="H75" s="54"/>
      <c r="I75" s="54"/>
      <c r="J75" s="59"/>
      <c r="K75" s="59"/>
      <c r="L75" s="49"/>
      <c r="M75" s="49"/>
      <c r="N75" s="49"/>
      <c r="O75" s="49"/>
      <c r="P75" s="49"/>
      <c r="Q75" s="49"/>
      <c r="R75" s="49"/>
      <c r="S75" s="49"/>
    </row>
    <row r="76" spans="1:19" s="4" customFormat="1">
      <c r="A76" s="49"/>
      <c r="B76" s="56"/>
      <c r="C76" s="49"/>
      <c r="D76" s="49"/>
      <c r="E76" s="49"/>
      <c r="F76" s="49"/>
      <c r="G76" s="49"/>
      <c r="H76" s="49"/>
      <c r="I76" s="49"/>
      <c r="J76" s="49"/>
      <c r="K76" s="49"/>
      <c r="L76" s="49"/>
      <c r="M76" s="153"/>
      <c r="N76" s="153"/>
      <c r="O76" s="153"/>
      <c r="P76" s="153"/>
      <c r="Q76" s="153"/>
      <c r="R76" s="153"/>
      <c r="S76" s="153"/>
    </row>
    <row r="77" spans="1:19" s="4" customFormat="1" ht="15" customHeight="1">
      <c r="A77" s="49"/>
      <c r="B77" s="155" t="s">
        <v>40</v>
      </c>
      <c r="C77" s="833" t="s">
        <v>41</v>
      </c>
      <c r="D77" s="833"/>
      <c r="E77" s="833"/>
      <c r="F77" s="833"/>
      <c r="G77" s="833"/>
      <c r="H77" s="833"/>
      <c r="I77" s="833"/>
      <c r="J77" s="833"/>
      <c r="K77" s="833"/>
      <c r="L77" s="833"/>
      <c r="M77" s="833"/>
      <c r="N77" s="833"/>
      <c r="O77" s="833"/>
      <c r="P77" s="833"/>
      <c r="Q77" s="833"/>
      <c r="R77" s="49"/>
      <c r="S77" s="49"/>
    </row>
    <row r="78" spans="1:19" s="4" customFormat="1">
      <c r="A78" s="49"/>
      <c r="B78" s="56"/>
      <c r="C78" s="833"/>
      <c r="D78" s="833"/>
      <c r="E78" s="833"/>
      <c r="F78" s="833"/>
      <c r="G78" s="833"/>
      <c r="H78" s="833"/>
      <c r="I78" s="833"/>
      <c r="J78" s="833"/>
      <c r="K78" s="833"/>
      <c r="L78" s="833"/>
      <c r="M78" s="833"/>
      <c r="N78" s="833"/>
      <c r="O78" s="833"/>
      <c r="P78" s="833"/>
      <c r="Q78" s="833"/>
      <c r="R78" s="153"/>
      <c r="S78" s="153"/>
    </row>
    <row r="79" spans="1:19" s="4" customFormat="1" ht="15">
      <c r="A79" s="49"/>
      <c r="B79" s="56"/>
      <c r="C79" s="833"/>
      <c r="D79" s="833"/>
      <c r="E79" s="833"/>
      <c r="F79" s="833"/>
      <c r="G79" s="833"/>
      <c r="H79" s="833"/>
      <c r="I79" s="833"/>
      <c r="J79" s="833"/>
      <c r="K79" s="833"/>
      <c r="L79" s="833"/>
      <c r="M79" s="833"/>
      <c r="N79" s="833"/>
      <c r="O79" s="833"/>
      <c r="P79" s="833"/>
      <c r="Q79" s="833"/>
      <c r="R79" s="49"/>
      <c r="S79" s="49"/>
    </row>
    <row r="80" spans="1:19" s="4" customFormat="1" ht="15">
      <c r="A80" s="49"/>
      <c r="B80" s="56"/>
      <c r="C80" s="49"/>
      <c r="D80" s="49"/>
      <c r="E80" s="49"/>
      <c r="F80" s="49"/>
      <c r="G80" s="49"/>
      <c r="H80" s="49"/>
      <c r="I80" s="49"/>
      <c r="J80" s="49"/>
      <c r="K80" s="49"/>
      <c r="L80" s="49"/>
      <c r="M80" s="49"/>
      <c r="N80" s="49"/>
      <c r="O80" s="49"/>
      <c r="P80" s="49"/>
      <c r="Q80" s="49"/>
      <c r="R80" s="49"/>
      <c r="S80" s="49"/>
    </row>
    <row r="81" spans="1:19" s="4" customFormat="1">
      <c r="A81" s="49"/>
      <c r="B81" s="56"/>
      <c r="C81" s="49"/>
      <c r="D81" s="49"/>
      <c r="E81" s="49"/>
      <c r="F81" s="49"/>
      <c r="G81" s="49"/>
      <c r="H81" s="49"/>
      <c r="I81" s="49"/>
      <c r="J81" s="49"/>
      <c r="K81" s="49"/>
      <c r="L81" s="49"/>
      <c r="M81" s="49"/>
      <c r="N81" s="49"/>
      <c r="O81" s="49"/>
      <c r="P81" s="49"/>
      <c r="Q81" s="49"/>
      <c r="R81" s="49"/>
      <c r="S81" s="153"/>
    </row>
    <row r="82" spans="1:19" s="4" customFormat="1" ht="15">
      <c r="A82" s="49"/>
      <c r="B82" s="155" t="s">
        <v>42</v>
      </c>
      <c r="C82" s="450" t="s">
        <v>43</v>
      </c>
      <c r="D82" s="450"/>
      <c r="E82" s="450"/>
      <c r="F82" s="450"/>
      <c r="G82" s="450"/>
      <c r="H82" s="450"/>
      <c r="I82" s="450"/>
      <c r="J82" s="450"/>
      <c r="K82" s="450"/>
      <c r="L82" s="450"/>
      <c r="M82" s="450"/>
      <c r="N82" s="450"/>
      <c r="O82" s="450"/>
      <c r="P82" s="450"/>
      <c r="Q82" s="450"/>
      <c r="R82" s="49"/>
      <c r="S82" s="49"/>
    </row>
    <row r="83" spans="1:19" s="4" customFormat="1" ht="15">
      <c r="A83" s="49"/>
      <c r="B83" s="49"/>
      <c r="C83" s="450"/>
      <c r="D83" s="450"/>
      <c r="E83" s="450"/>
      <c r="F83" s="450"/>
      <c r="G83" s="450"/>
      <c r="H83" s="450"/>
      <c r="I83" s="450"/>
      <c r="J83" s="450"/>
      <c r="K83" s="450"/>
      <c r="L83" s="450"/>
      <c r="M83" s="450"/>
      <c r="N83" s="450"/>
      <c r="O83" s="450"/>
      <c r="P83" s="450"/>
      <c r="Q83" s="450"/>
      <c r="R83" s="49"/>
      <c r="S83" s="49"/>
    </row>
    <row r="84" spans="1:19" s="4" customFormat="1" ht="15">
      <c r="A84" s="49"/>
      <c r="B84" s="49"/>
      <c r="C84" s="450"/>
      <c r="D84" s="450"/>
      <c r="E84" s="450"/>
      <c r="F84" s="450"/>
      <c r="G84" s="450"/>
      <c r="H84" s="450"/>
      <c r="I84" s="450"/>
      <c r="J84" s="450"/>
      <c r="K84" s="450"/>
      <c r="L84" s="450"/>
      <c r="M84" s="450"/>
      <c r="N84" s="450"/>
      <c r="O84" s="450"/>
      <c r="P84" s="450"/>
      <c r="Q84" s="450"/>
      <c r="R84" s="49"/>
      <c r="S84" s="49"/>
    </row>
    <row r="85" spans="1:19" s="4" customFormat="1" ht="15">
      <c r="A85" s="49"/>
      <c r="B85" s="155" t="s">
        <v>44</v>
      </c>
      <c r="C85" s="833" t="s">
        <v>45</v>
      </c>
      <c r="D85" s="833"/>
      <c r="E85" s="833"/>
      <c r="F85" s="833"/>
      <c r="G85" s="833"/>
      <c r="H85" s="833"/>
      <c r="I85" s="833"/>
      <c r="J85" s="833"/>
      <c r="K85" s="833"/>
      <c r="L85" s="833"/>
      <c r="M85" s="833"/>
      <c r="N85" s="833"/>
      <c r="O85" s="833"/>
      <c r="P85" s="833"/>
      <c r="Q85" s="450"/>
      <c r="R85" s="49"/>
      <c r="S85" s="49"/>
    </row>
    <row r="86" spans="1:19" s="4" customFormat="1" ht="15">
      <c r="A86" s="49"/>
      <c r="B86" s="49"/>
      <c r="C86" s="833"/>
      <c r="D86" s="833"/>
      <c r="E86" s="833"/>
      <c r="F86" s="833"/>
      <c r="G86" s="833"/>
      <c r="H86" s="833"/>
      <c r="I86" s="833"/>
      <c r="J86" s="833"/>
      <c r="K86" s="833"/>
      <c r="L86" s="833"/>
      <c r="M86" s="833"/>
      <c r="N86" s="833"/>
      <c r="O86" s="833"/>
      <c r="P86" s="833"/>
      <c r="Q86" s="450"/>
      <c r="R86" s="49"/>
      <c r="S86" s="49"/>
    </row>
    <row r="87" spans="1:19" s="4" customFormat="1" ht="15">
      <c r="A87" s="49"/>
      <c r="B87" s="52"/>
      <c r="C87" s="450"/>
      <c r="D87" s="450"/>
      <c r="E87" s="450"/>
      <c r="F87" s="450"/>
      <c r="G87" s="450"/>
      <c r="H87" s="450"/>
      <c r="I87" s="450"/>
      <c r="J87" s="450"/>
      <c r="K87" s="450"/>
      <c r="L87" s="450"/>
      <c r="M87" s="450"/>
      <c r="N87" s="450"/>
      <c r="O87" s="450"/>
      <c r="P87" s="450"/>
      <c r="Q87" s="450"/>
      <c r="R87" s="49"/>
      <c r="S87" s="49"/>
    </row>
    <row r="88" spans="1:19" s="4" customFormat="1" ht="15">
      <c r="A88" s="49"/>
      <c r="B88" s="49"/>
      <c r="C88" s="49"/>
      <c r="D88" s="60"/>
      <c r="E88" s="49"/>
      <c r="F88" s="49"/>
      <c r="G88" s="49"/>
      <c r="H88" s="49"/>
      <c r="I88" s="49"/>
      <c r="J88" s="49"/>
      <c r="K88" s="49"/>
      <c r="L88" s="49"/>
      <c r="M88" s="49"/>
      <c r="N88" s="49"/>
      <c r="O88" s="49"/>
      <c r="P88" s="49"/>
      <c r="Q88" s="49"/>
      <c r="R88" s="49"/>
      <c r="S88" s="49"/>
    </row>
    <row r="89" spans="1:19" s="4" customFormat="1">
      <c r="A89" s="49"/>
      <c r="B89" s="156" t="s">
        <v>46</v>
      </c>
      <c r="C89" s="834" t="s">
        <v>47</v>
      </c>
      <c r="D89" s="834"/>
      <c r="E89" s="834"/>
      <c r="F89" s="834"/>
      <c r="G89" s="834"/>
      <c r="H89" s="834"/>
      <c r="I89" s="834"/>
      <c r="J89" s="834"/>
      <c r="K89" s="834"/>
      <c r="L89" s="834"/>
      <c r="M89" s="834"/>
      <c r="N89" s="834"/>
      <c r="O89" s="834"/>
      <c r="P89" s="834"/>
      <c r="Q89" s="834"/>
      <c r="R89" s="153"/>
      <c r="S89" s="153"/>
    </row>
    <row r="90" spans="1:19" s="4" customFormat="1" ht="15">
      <c r="A90" s="49"/>
      <c r="B90" s="56"/>
      <c r="C90" s="834"/>
      <c r="D90" s="834"/>
      <c r="E90" s="834"/>
      <c r="F90" s="834"/>
      <c r="G90" s="834"/>
      <c r="H90" s="834"/>
      <c r="I90" s="834"/>
      <c r="J90" s="834"/>
      <c r="K90" s="834"/>
      <c r="L90" s="834"/>
      <c r="M90" s="834"/>
      <c r="N90" s="834"/>
      <c r="O90" s="834"/>
      <c r="P90" s="834"/>
      <c r="Q90" s="834"/>
      <c r="R90" s="49"/>
      <c r="S90" s="49"/>
    </row>
    <row r="91" spans="1:19" s="4" customFormat="1" ht="15">
      <c r="A91" s="49"/>
      <c r="B91" s="49"/>
      <c r="C91" s="834"/>
      <c r="D91" s="834"/>
      <c r="E91" s="834"/>
      <c r="F91" s="834"/>
      <c r="G91" s="834"/>
      <c r="H91" s="834"/>
      <c r="I91" s="834"/>
      <c r="J91" s="834"/>
      <c r="K91" s="834"/>
      <c r="L91" s="834"/>
      <c r="M91" s="834"/>
      <c r="N91" s="834"/>
      <c r="O91" s="834"/>
      <c r="P91" s="834"/>
      <c r="Q91" s="834"/>
      <c r="R91" s="49"/>
      <c r="S91" s="49"/>
    </row>
    <row r="92" spans="1:19" s="4" customFormat="1" ht="15">
      <c r="A92" s="49"/>
      <c r="B92" s="52"/>
      <c r="C92" s="49"/>
      <c r="D92" s="49"/>
      <c r="E92" s="49"/>
      <c r="F92" s="49"/>
      <c r="G92" s="49"/>
      <c r="H92" s="49"/>
      <c r="I92" s="49"/>
      <c r="J92" s="49"/>
      <c r="K92" s="49"/>
      <c r="L92" s="49"/>
      <c r="M92" s="49"/>
      <c r="N92" s="49"/>
      <c r="O92" s="49"/>
      <c r="P92" s="49"/>
      <c r="Q92" s="49"/>
      <c r="R92" s="49"/>
      <c r="S92" s="49"/>
    </row>
    <row r="93" spans="1:19" s="4" customFormat="1" ht="15">
      <c r="A93" s="49"/>
      <c r="B93" s="156" t="s">
        <v>48</v>
      </c>
      <c r="C93" s="834" t="s">
        <v>49</v>
      </c>
      <c r="D93" s="834"/>
      <c r="E93" s="834"/>
      <c r="F93" s="834"/>
      <c r="G93" s="834"/>
      <c r="H93" s="834"/>
      <c r="I93" s="834"/>
      <c r="J93" s="834"/>
      <c r="K93" s="834"/>
      <c r="L93" s="834"/>
      <c r="M93" s="834"/>
      <c r="N93" s="834"/>
      <c r="O93" s="834"/>
      <c r="P93" s="834"/>
      <c r="Q93" s="834"/>
      <c r="R93" s="49"/>
      <c r="S93" s="49"/>
    </row>
    <row r="94" spans="1:19" s="4" customFormat="1" ht="15.95" customHeight="1">
      <c r="A94" s="49"/>
      <c r="B94" s="49"/>
      <c r="C94" s="834"/>
      <c r="D94" s="834"/>
      <c r="E94" s="834"/>
      <c r="F94" s="834"/>
      <c r="G94" s="834"/>
      <c r="H94" s="834"/>
      <c r="I94" s="834"/>
      <c r="J94" s="834"/>
      <c r="K94" s="834"/>
      <c r="L94" s="834"/>
      <c r="M94" s="834"/>
      <c r="N94" s="834"/>
      <c r="O94" s="834"/>
      <c r="P94" s="834"/>
      <c r="Q94" s="834"/>
      <c r="R94" s="153"/>
      <c r="S94" s="153"/>
    </row>
    <row r="95" spans="1:19" s="4" customFormat="1" ht="15">
      <c r="A95" s="49"/>
      <c r="B95" s="49"/>
      <c r="C95" s="49"/>
      <c r="D95" s="49"/>
      <c r="E95" s="49"/>
      <c r="F95" s="49"/>
      <c r="G95" s="49"/>
      <c r="H95" s="49"/>
      <c r="I95" s="49"/>
      <c r="J95" s="49"/>
      <c r="K95" s="49"/>
      <c r="L95" s="49"/>
      <c r="M95" s="49"/>
      <c r="N95" s="49"/>
      <c r="O95" s="49"/>
      <c r="P95" s="49"/>
      <c r="Q95" s="49"/>
      <c r="R95" s="49"/>
      <c r="S95" s="49"/>
    </row>
    <row r="96" spans="1:19" s="4" customFormat="1">
      <c r="A96" s="49"/>
      <c r="B96" s="150"/>
      <c r="C96" s="51"/>
      <c r="D96" s="49"/>
      <c r="E96" s="49"/>
      <c r="F96" s="49"/>
      <c r="G96" s="49"/>
      <c r="H96" s="49"/>
      <c r="I96" s="49"/>
      <c r="J96" s="49"/>
      <c r="K96" s="49"/>
      <c r="L96" s="49"/>
      <c r="M96" s="49"/>
      <c r="N96" s="49"/>
      <c r="O96" s="49"/>
      <c r="P96" s="49"/>
      <c r="Q96" s="49"/>
      <c r="R96" s="49"/>
      <c r="S96" s="153"/>
    </row>
    <row r="97" spans="1:19" s="4" customFormat="1" ht="15">
      <c r="A97" s="49"/>
      <c r="B97" s="156" t="s">
        <v>50</v>
      </c>
      <c r="C97" s="833" t="s">
        <v>51</v>
      </c>
      <c r="D97" s="833"/>
      <c r="E97" s="833"/>
      <c r="F97" s="833"/>
      <c r="G97" s="833"/>
      <c r="H97" s="833"/>
      <c r="I97" s="833"/>
      <c r="J97" s="833"/>
      <c r="K97" s="833"/>
      <c r="L97" s="833"/>
      <c r="M97" s="833"/>
      <c r="N97" s="833"/>
      <c r="O97" s="833"/>
      <c r="P97" s="833"/>
      <c r="Q97" s="49"/>
      <c r="R97" s="49"/>
      <c r="S97" s="49"/>
    </row>
    <row r="98" spans="1:19" s="4" customFormat="1">
      <c r="A98" s="49"/>
      <c r="B98" s="150"/>
      <c r="C98" s="833"/>
      <c r="D98" s="833"/>
      <c r="E98" s="833"/>
      <c r="F98" s="833"/>
      <c r="G98" s="833"/>
      <c r="H98" s="833"/>
      <c r="I98" s="833"/>
      <c r="J98" s="833"/>
      <c r="K98" s="833"/>
      <c r="L98" s="833"/>
      <c r="M98" s="833"/>
      <c r="N98" s="833"/>
      <c r="O98" s="833"/>
      <c r="P98" s="833"/>
      <c r="Q98" s="49"/>
      <c r="R98" s="153"/>
      <c r="S98" s="153"/>
    </row>
    <row r="99" spans="1:19" s="4" customFormat="1" ht="15">
      <c r="A99" s="49"/>
      <c r="B99" s="49"/>
      <c r="C99" s="833"/>
      <c r="D99" s="833"/>
      <c r="E99" s="833"/>
      <c r="F99" s="833"/>
      <c r="G99" s="833"/>
      <c r="H99" s="833"/>
      <c r="I99" s="833"/>
      <c r="J99" s="833"/>
      <c r="K99" s="833"/>
      <c r="L99" s="833"/>
      <c r="M99" s="833"/>
      <c r="N99" s="833"/>
      <c r="O99" s="833"/>
      <c r="P99" s="833"/>
      <c r="Q99" s="49"/>
      <c r="R99" s="49"/>
      <c r="S99" s="49"/>
    </row>
    <row r="100" spans="1:19" s="4" customFormat="1">
      <c r="A100" s="49"/>
      <c r="B100" s="150"/>
      <c r="C100" s="49"/>
      <c r="D100" s="49"/>
      <c r="E100" s="49"/>
      <c r="F100" s="49"/>
      <c r="G100" s="49"/>
      <c r="H100" s="49"/>
      <c r="I100" s="49"/>
      <c r="J100" s="49"/>
      <c r="K100" s="49"/>
      <c r="L100" s="49"/>
      <c r="M100" s="49"/>
      <c r="N100" s="49"/>
      <c r="O100" s="49"/>
      <c r="P100" s="49"/>
      <c r="Q100" s="49"/>
      <c r="R100" s="153"/>
      <c r="S100" s="153"/>
    </row>
    <row r="101" spans="1:19" s="4" customFormat="1" ht="15">
      <c r="A101" s="49"/>
      <c r="B101" s="156" t="s">
        <v>52</v>
      </c>
      <c r="C101" s="833" t="s">
        <v>53</v>
      </c>
      <c r="D101" s="833"/>
      <c r="E101" s="833"/>
      <c r="F101" s="833"/>
      <c r="G101" s="833"/>
      <c r="H101" s="833"/>
      <c r="I101" s="833"/>
      <c r="J101" s="833"/>
      <c r="K101" s="833"/>
      <c r="L101" s="833"/>
      <c r="M101" s="833"/>
      <c r="N101" s="833"/>
      <c r="O101" s="833"/>
      <c r="P101" s="833"/>
      <c r="Q101" s="833"/>
      <c r="R101" s="49"/>
      <c r="S101" s="49"/>
    </row>
    <row r="102" spans="1:19" s="4" customFormat="1">
      <c r="A102" s="49"/>
      <c r="B102" s="56"/>
      <c r="C102" s="833"/>
      <c r="D102" s="833"/>
      <c r="E102" s="833"/>
      <c r="F102" s="833"/>
      <c r="G102" s="833"/>
      <c r="H102" s="833"/>
      <c r="I102" s="833"/>
      <c r="J102" s="833"/>
      <c r="K102" s="833"/>
      <c r="L102" s="833"/>
      <c r="M102" s="833"/>
      <c r="N102" s="833"/>
      <c r="O102" s="833"/>
      <c r="P102" s="833"/>
      <c r="Q102" s="833"/>
      <c r="R102" s="153"/>
      <c r="S102" s="153"/>
    </row>
    <row r="103" spans="1:19" s="4" customFormat="1" ht="15">
      <c r="A103" s="55"/>
      <c r="B103" s="49"/>
      <c r="C103" s="833"/>
      <c r="D103" s="833"/>
      <c r="E103" s="833"/>
      <c r="F103" s="833"/>
      <c r="G103" s="833"/>
      <c r="H103" s="833"/>
      <c r="I103" s="833"/>
      <c r="J103" s="833"/>
      <c r="K103" s="833"/>
      <c r="L103" s="833"/>
      <c r="M103" s="833"/>
      <c r="N103" s="833"/>
      <c r="O103" s="833"/>
      <c r="P103" s="833"/>
      <c r="Q103" s="833"/>
      <c r="R103" s="49"/>
      <c r="S103" s="49"/>
    </row>
    <row r="104" spans="1:19" s="4" customFormat="1">
      <c r="A104" s="55"/>
      <c r="B104" s="150"/>
      <c r="C104" s="49"/>
      <c r="D104" s="49"/>
      <c r="E104" s="49"/>
      <c r="F104" s="49"/>
      <c r="G104" s="49"/>
      <c r="H104" s="49"/>
      <c r="I104" s="49"/>
      <c r="J104" s="49"/>
      <c r="K104" s="49"/>
      <c r="L104" s="49"/>
      <c r="M104" s="49"/>
      <c r="N104" s="49"/>
      <c r="O104" s="153"/>
      <c r="P104" s="153"/>
      <c r="Q104" s="153"/>
      <c r="R104" s="153"/>
      <c r="S104" s="153"/>
    </row>
    <row r="105" spans="1:19" s="4" customFormat="1" ht="15">
      <c r="A105" s="55"/>
      <c r="B105" s="156" t="s">
        <v>54</v>
      </c>
      <c r="C105" s="833" t="s">
        <v>55</v>
      </c>
      <c r="D105" s="833"/>
      <c r="E105" s="833"/>
      <c r="F105" s="833"/>
      <c r="G105" s="833"/>
      <c r="H105" s="833"/>
      <c r="I105" s="833"/>
      <c r="J105" s="833"/>
      <c r="K105" s="833"/>
      <c r="L105" s="833"/>
      <c r="M105" s="833"/>
      <c r="N105" s="833"/>
      <c r="O105" s="833"/>
      <c r="P105" s="833"/>
      <c r="Q105" s="833"/>
      <c r="R105" s="49"/>
      <c r="S105" s="49"/>
    </row>
    <row r="106" spans="1:19" s="4" customFormat="1">
      <c r="A106" s="55"/>
      <c r="B106" s="150"/>
      <c r="C106" s="833"/>
      <c r="D106" s="833"/>
      <c r="E106" s="833"/>
      <c r="F106" s="833"/>
      <c r="G106" s="833"/>
      <c r="H106" s="833"/>
      <c r="I106" s="833"/>
      <c r="J106" s="833"/>
      <c r="K106" s="833"/>
      <c r="L106" s="833"/>
      <c r="M106" s="833"/>
      <c r="N106" s="833"/>
      <c r="O106" s="833"/>
      <c r="P106" s="833"/>
      <c r="Q106" s="833"/>
      <c r="R106" s="153"/>
      <c r="S106" s="153"/>
    </row>
    <row r="107" spans="1:19" s="4" customFormat="1" ht="15">
      <c r="A107" s="55"/>
      <c r="B107" s="49"/>
      <c r="C107" s="833"/>
      <c r="D107" s="833"/>
      <c r="E107" s="833"/>
      <c r="F107" s="833"/>
      <c r="G107" s="833"/>
      <c r="H107" s="833"/>
      <c r="I107" s="833"/>
      <c r="J107" s="833"/>
      <c r="K107" s="833"/>
      <c r="L107" s="833"/>
      <c r="M107" s="833"/>
      <c r="N107" s="833"/>
      <c r="O107" s="833"/>
      <c r="P107" s="833"/>
      <c r="Q107" s="833"/>
      <c r="R107" s="49"/>
      <c r="S107" s="49"/>
    </row>
    <row r="108" spans="1:19" s="4" customFormat="1">
      <c r="A108" s="51"/>
      <c r="B108" s="150"/>
      <c r="C108" s="49"/>
      <c r="D108" s="49"/>
      <c r="E108" s="49"/>
      <c r="F108" s="49"/>
      <c r="G108" s="49"/>
      <c r="H108" s="49"/>
      <c r="I108" s="49"/>
      <c r="J108" s="49"/>
      <c r="K108" s="49"/>
      <c r="L108" s="49"/>
      <c r="M108" s="49"/>
      <c r="N108" s="49"/>
      <c r="O108" s="49"/>
      <c r="P108" s="153"/>
      <c r="Q108" s="153"/>
      <c r="R108" s="153"/>
      <c r="S108" s="153"/>
    </row>
    <row r="109" spans="1:19" s="4" customFormat="1" ht="15" customHeight="1">
      <c r="A109" s="51"/>
      <c r="B109" s="156" t="s">
        <v>56</v>
      </c>
      <c r="C109" s="833" t="s">
        <v>57</v>
      </c>
      <c r="D109" s="833"/>
      <c r="E109" s="833"/>
      <c r="F109" s="833"/>
      <c r="G109" s="833"/>
      <c r="H109" s="833"/>
      <c r="I109" s="833"/>
      <c r="J109" s="833"/>
      <c r="K109" s="833"/>
      <c r="L109" s="833"/>
      <c r="M109" s="833"/>
      <c r="N109" s="833"/>
      <c r="O109" s="833"/>
      <c r="P109" s="833"/>
      <c r="Q109" s="833"/>
      <c r="R109" s="442"/>
      <c r="S109" s="49"/>
    </row>
    <row r="110" spans="1:19" s="4" customFormat="1">
      <c r="A110" s="51"/>
      <c r="B110" s="150"/>
      <c r="C110" s="833"/>
      <c r="D110" s="833"/>
      <c r="E110" s="833"/>
      <c r="F110" s="833"/>
      <c r="G110" s="833"/>
      <c r="H110" s="833"/>
      <c r="I110" s="833"/>
      <c r="J110" s="833"/>
      <c r="K110" s="833"/>
      <c r="L110" s="833"/>
      <c r="M110" s="833"/>
      <c r="N110" s="833"/>
      <c r="O110" s="833"/>
      <c r="P110" s="833"/>
      <c r="Q110" s="833"/>
      <c r="R110" s="442"/>
      <c r="S110" s="153"/>
    </row>
    <row r="111" spans="1:19" s="4" customFormat="1">
      <c r="A111" s="51"/>
      <c r="B111" s="150"/>
      <c r="C111" s="743"/>
      <c r="D111" s="743"/>
      <c r="E111" s="743"/>
      <c r="F111" s="743"/>
      <c r="G111" s="743"/>
      <c r="H111" s="743"/>
      <c r="I111" s="743"/>
      <c r="J111" s="743"/>
      <c r="K111" s="743"/>
      <c r="L111" s="743"/>
      <c r="M111" s="743"/>
      <c r="N111" s="743"/>
      <c r="O111" s="743"/>
      <c r="P111" s="743"/>
      <c r="Q111" s="743"/>
      <c r="R111" s="442"/>
      <c r="S111" s="153"/>
    </row>
    <row r="112" spans="1:19" s="4" customFormat="1">
      <c r="A112" s="51"/>
      <c r="B112" s="150"/>
      <c r="C112" s="442"/>
      <c r="D112" s="442"/>
      <c r="E112" s="442"/>
      <c r="F112" s="442"/>
      <c r="G112" s="442"/>
      <c r="H112" s="442"/>
      <c r="I112" s="442"/>
      <c r="J112" s="442"/>
      <c r="K112" s="442"/>
      <c r="L112" s="442"/>
      <c r="M112" s="442"/>
      <c r="N112" s="442"/>
      <c r="O112" s="442"/>
      <c r="P112" s="442"/>
      <c r="Q112" s="442"/>
      <c r="R112" s="442"/>
      <c r="S112" s="153"/>
    </row>
    <row r="113" spans="1:19" s="4" customFormat="1">
      <c r="A113" s="51"/>
      <c r="B113" s="156" t="s">
        <v>58</v>
      </c>
      <c r="C113" s="450" t="s">
        <v>59</v>
      </c>
      <c r="D113" s="442"/>
      <c r="E113" s="442"/>
      <c r="F113" s="442"/>
      <c r="G113" s="442"/>
      <c r="H113" s="442"/>
      <c r="I113" s="442"/>
      <c r="J113" s="442"/>
      <c r="K113" s="442"/>
      <c r="L113" s="442"/>
      <c r="M113" s="442"/>
      <c r="N113" s="442"/>
      <c r="O113" s="442"/>
      <c r="P113" s="442"/>
      <c r="Q113" s="442"/>
      <c r="R113" s="442"/>
      <c r="S113" s="153"/>
    </row>
    <row r="114" spans="1:19" s="4" customFormat="1">
      <c r="A114" s="51"/>
      <c r="B114" s="444"/>
      <c r="C114" s="450" t="s">
        <v>60</v>
      </c>
      <c r="D114" s="442"/>
      <c r="E114" s="442"/>
      <c r="F114" s="442"/>
      <c r="G114" s="450"/>
      <c r="H114" s="442"/>
      <c r="I114" s="442"/>
      <c r="J114" s="442"/>
      <c r="K114" s="442"/>
      <c r="L114" s="442"/>
      <c r="M114" s="442"/>
      <c r="N114" s="442"/>
      <c r="O114" s="442"/>
      <c r="P114" s="442"/>
      <c r="Q114" s="442"/>
      <c r="R114" s="442"/>
      <c r="S114" s="153"/>
    </row>
    <row r="115" spans="1:19" s="4" customFormat="1">
      <c r="A115" s="51"/>
      <c r="B115" s="150"/>
      <c r="C115" s="442"/>
      <c r="D115" s="442"/>
      <c r="E115" s="442"/>
      <c r="F115" s="442"/>
      <c r="G115" s="442"/>
      <c r="H115" s="442"/>
      <c r="I115" s="442"/>
      <c r="J115" s="442"/>
      <c r="K115" s="442"/>
      <c r="L115" s="442"/>
      <c r="M115" s="442"/>
      <c r="N115" s="442"/>
      <c r="O115" s="442"/>
      <c r="P115" s="442"/>
      <c r="Q115" s="442"/>
      <c r="R115" s="442"/>
      <c r="S115" s="153"/>
    </row>
    <row r="116" spans="1:19" s="4" customFormat="1">
      <c r="A116" s="51"/>
      <c r="B116" s="150"/>
      <c r="C116" s="442"/>
      <c r="D116" s="442"/>
      <c r="E116" s="442"/>
      <c r="F116" s="442"/>
      <c r="G116" s="442"/>
      <c r="H116" s="442"/>
      <c r="I116" s="442"/>
      <c r="J116" s="442"/>
      <c r="K116" s="442"/>
      <c r="L116" s="442"/>
      <c r="M116" s="442"/>
      <c r="N116" s="442"/>
      <c r="O116" s="442"/>
      <c r="P116" s="442"/>
      <c r="Q116" s="442"/>
      <c r="R116" s="442"/>
      <c r="S116" s="153"/>
    </row>
    <row r="117" spans="1:19" s="4" customFormat="1">
      <c r="A117" s="51"/>
      <c r="B117" s="156" t="s">
        <v>61</v>
      </c>
      <c r="C117" s="450" t="s">
        <v>62</v>
      </c>
      <c r="D117" s="442"/>
      <c r="E117" s="442"/>
      <c r="F117" s="442"/>
      <c r="G117" s="442"/>
      <c r="H117" s="442"/>
      <c r="I117" s="442"/>
      <c r="J117" s="442"/>
      <c r="K117" s="442"/>
      <c r="L117" s="442"/>
      <c r="M117" s="442"/>
      <c r="N117" s="442"/>
      <c r="O117" s="442"/>
      <c r="P117" s="442"/>
      <c r="Q117" s="442"/>
      <c r="R117" s="442"/>
      <c r="S117" s="153"/>
    </row>
    <row r="118" spans="1:19" s="4" customFormat="1">
      <c r="A118" s="51"/>
      <c r="B118" s="150"/>
      <c r="C118" s="442"/>
      <c r="D118" s="442"/>
      <c r="E118" s="442"/>
      <c r="F118" s="442"/>
      <c r="G118" s="442"/>
      <c r="H118" s="442"/>
      <c r="I118" s="442"/>
      <c r="J118" s="442"/>
      <c r="K118" s="442"/>
      <c r="L118" s="442"/>
      <c r="M118" s="442"/>
      <c r="N118" s="442"/>
      <c r="O118" s="442"/>
      <c r="P118" s="442"/>
      <c r="Q118" s="442"/>
      <c r="R118" s="442"/>
      <c r="S118" s="153"/>
    </row>
    <row r="119" spans="1:19" s="4" customFormat="1">
      <c r="A119" s="51"/>
      <c r="B119" s="150"/>
      <c r="C119" s="442"/>
      <c r="D119" s="442"/>
      <c r="E119" s="442"/>
      <c r="F119" s="442"/>
      <c r="G119" s="442"/>
      <c r="H119" s="442"/>
      <c r="I119" s="442"/>
      <c r="J119" s="442"/>
      <c r="K119" s="442"/>
      <c r="L119" s="442"/>
      <c r="M119" s="442"/>
      <c r="N119" s="442"/>
      <c r="O119" s="442"/>
      <c r="P119" s="442"/>
      <c r="Q119" s="442"/>
      <c r="R119" s="442"/>
      <c r="S119" s="153"/>
    </row>
    <row r="120" spans="1:19" s="4" customFormat="1" ht="15.95" customHeight="1">
      <c r="A120" s="49"/>
      <c r="B120" s="50"/>
      <c r="C120" s="49"/>
      <c r="D120" s="151"/>
      <c r="E120" s="151"/>
      <c r="F120" s="151"/>
      <c r="G120" s="49"/>
      <c r="H120" s="49"/>
      <c r="I120" s="49"/>
      <c r="J120" s="49"/>
      <c r="K120" s="49"/>
      <c r="L120" s="49"/>
      <c r="M120" s="49"/>
      <c r="N120" s="49"/>
      <c r="O120" s="49"/>
      <c r="P120" s="49"/>
      <c r="Q120" s="49"/>
      <c r="R120" s="49"/>
      <c r="S120" s="49"/>
    </row>
    <row r="121" spans="1:19" s="4" customFormat="1">
      <c r="A121" s="49"/>
      <c r="B121" s="157" t="s">
        <v>63</v>
      </c>
      <c r="C121" s="833" t="s">
        <v>64</v>
      </c>
      <c r="D121" s="833"/>
      <c r="E121" s="833"/>
      <c r="F121" s="833"/>
      <c r="G121" s="833"/>
      <c r="H121" s="833"/>
      <c r="I121" s="833"/>
      <c r="J121" s="833"/>
      <c r="K121" s="833"/>
      <c r="L121" s="833"/>
      <c r="M121" s="833"/>
      <c r="N121" s="833"/>
      <c r="O121" s="833"/>
      <c r="P121" s="833"/>
      <c r="Q121" s="153"/>
      <c r="R121" s="153"/>
      <c r="S121" s="153"/>
    </row>
    <row r="122" spans="1:19" s="4" customFormat="1" ht="15">
      <c r="A122" s="49"/>
      <c r="B122" s="49"/>
      <c r="C122" s="833"/>
      <c r="D122" s="833"/>
      <c r="E122" s="833"/>
      <c r="F122" s="833"/>
      <c r="G122" s="833"/>
      <c r="H122" s="833"/>
      <c r="I122" s="833"/>
      <c r="J122" s="833"/>
      <c r="K122" s="833"/>
      <c r="L122" s="833"/>
      <c r="M122" s="833"/>
      <c r="N122" s="833"/>
      <c r="O122" s="833"/>
      <c r="P122" s="833"/>
      <c r="Q122" s="49"/>
      <c r="R122" s="49"/>
      <c r="S122" s="49"/>
    </row>
    <row r="123" spans="1:19" s="4" customFormat="1" ht="15" customHeight="1">
      <c r="A123" s="49"/>
      <c r="B123" s="152"/>
      <c r="C123" s="49"/>
      <c r="D123" s="49"/>
      <c r="E123" s="49"/>
      <c r="F123" s="49"/>
      <c r="G123" s="49"/>
      <c r="H123" s="49"/>
      <c r="I123" s="49"/>
      <c r="J123" s="49"/>
      <c r="K123" s="49"/>
      <c r="L123" s="49"/>
      <c r="M123" s="49"/>
      <c r="N123" s="49"/>
      <c r="O123" s="49"/>
      <c r="P123" s="49"/>
      <c r="Q123" s="49"/>
      <c r="R123" s="49"/>
      <c r="S123" s="49"/>
    </row>
    <row r="124" spans="1:19" s="4" customFormat="1" ht="15" customHeight="1">
      <c r="A124" s="49"/>
      <c r="B124" s="152"/>
      <c r="C124" s="49"/>
      <c r="D124" s="49"/>
      <c r="E124" s="49"/>
      <c r="F124" s="49"/>
      <c r="G124" s="49"/>
      <c r="H124" s="49"/>
      <c r="I124" s="49"/>
      <c r="J124" s="49"/>
      <c r="K124" s="49"/>
      <c r="L124" s="49"/>
      <c r="M124" s="49"/>
      <c r="N124" s="49"/>
      <c r="O124" s="49"/>
      <c r="P124" s="49"/>
      <c r="Q124" s="49"/>
      <c r="R124" s="49"/>
      <c r="S124" s="49"/>
    </row>
    <row r="125" spans="1:19" s="4" customFormat="1" ht="15">
      <c r="A125" s="49"/>
      <c r="B125" s="157" t="s">
        <v>65</v>
      </c>
      <c r="C125" s="833" t="s">
        <v>66</v>
      </c>
      <c r="D125" s="833"/>
      <c r="E125" s="833"/>
      <c r="F125" s="833"/>
      <c r="G125" s="833"/>
      <c r="H125" s="833"/>
      <c r="I125" s="833"/>
      <c r="J125" s="833"/>
      <c r="K125" s="833"/>
      <c r="L125" s="833"/>
      <c r="M125" s="833"/>
      <c r="N125" s="833"/>
      <c r="O125" s="833"/>
      <c r="P125" s="833"/>
      <c r="Q125" s="833"/>
      <c r="R125" s="49"/>
      <c r="S125" s="49"/>
    </row>
    <row r="126" spans="1:19" s="4" customFormat="1">
      <c r="A126" s="49"/>
      <c r="B126" s="51"/>
      <c r="C126" s="833"/>
      <c r="D126" s="833"/>
      <c r="E126" s="833"/>
      <c r="F126" s="833"/>
      <c r="G126" s="833"/>
      <c r="H126" s="833"/>
      <c r="I126" s="833"/>
      <c r="J126" s="833"/>
      <c r="K126" s="833"/>
      <c r="L126" s="833"/>
      <c r="M126" s="833"/>
      <c r="N126" s="833"/>
      <c r="O126" s="833"/>
      <c r="P126" s="833"/>
      <c r="Q126" s="833"/>
      <c r="R126" s="153"/>
      <c r="S126" s="153"/>
    </row>
    <row r="127" spans="1:19" s="4" customFormat="1" ht="15">
      <c r="A127" s="49"/>
      <c r="B127" s="51"/>
      <c r="C127" s="49"/>
      <c r="D127" s="49"/>
      <c r="E127" s="49"/>
      <c r="F127" s="49"/>
      <c r="G127" s="49"/>
      <c r="H127" s="49"/>
      <c r="I127" s="49"/>
      <c r="J127" s="49"/>
      <c r="K127" s="49"/>
      <c r="L127" s="49"/>
      <c r="M127" s="49"/>
      <c r="N127" s="49"/>
      <c r="O127" s="49"/>
      <c r="P127" s="49"/>
      <c r="Q127" s="49"/>
      <c r="R127" s="49"/>
      <c r="S127" s="49"/>
    </row>
    <row r="128" spans="1:19" s="4" customFormat="1" ht="15">
      <c r="B128" s="154"/>
    </row>
    <row r="129" spans="2:17" s="4" customFormat="1" ht="15">
      <c r="B129" s="157" t="s">
        <v>67</v>
      </c>
      <c r="C129" s="847" t="s">
        <v>68</v>
      </c>
      <c r="D129" s="847"/>
      <c r="E129" s="847"/>
      <c r="F129" s="847"/>
      <c r="G129" s="847"/>
      <c r="H129" s="847"/>
      <c r="I129" s="847"/>
      <c r="J129" s="847"/>
      <c r="K129" s="847"/>
      <c r="L129" s="847"/>
      <c r="M129" s="847"/>
      <c r="N129" s="847"/>
      <c r="O129" s="847"/>
      <c r="P129" s="847"/>
      <c r="Q129" s="847"/>
    </row>
    <row r="130" spans="2:17" s="4" customFormat="1" ht="15">
      <c r="B130" s="154"/>
      <c r="C130" s="847"/>
      <c r="D130" s="847"/>
      <c r="E130" s="847"/>
      <c r="F130" s="847"/>
      <c r="G130" s="847"/>
      <c r="H130" s="847"/>
      <c r="I130" s="847"/>
      <c r="J130" s="847"/>
      <c r="K130" s="847"/>
      <c r="L130" s="847"/>
      <c r="M130" s="847"/>
      <c r="N130" s="847"/>
      <c r="O130" s="847"/>
      <c r="P130" s="847"/>
      <c r="Q130" s="847"/>
    </row>
    <row r="131" spans="2:17" s="4" customFormat="1" ht="15">
      <c r="B131" s="154"/>
      <c r="C131" s="746"/>
      <c r="D131" s="746"/>
      <c r="E131" s="746"/>
      <c r="F131" s="746"/>
      <c r="G131" s="746"/>
      <c r="H131" s="746"/>
      <c r="I131" s="746"/>
      <c r="J131" s="746"/>
      <c r="K131" s="746"/>
      <c r="L131" s="746"/>
      <c r="M131" s="746"/>
      <c r="N131" s="746"/>
      <c r="O131" s="746"/>
      <c r="P131" s="746"/>
      <c r="Q131" s="746"/>
    </row>
    <row r="132" spans="2:17" s="4" customFormat="1" ht="15">
      <c r="B132" s="154"/>
    </row>
    <row r="133" spans="2:17" s="4" customFormat="1" ht="15">
      <c r="B133" s="156" t="s">
        <v>69</v>
      </c>
      <c r="C133" s="833" t="s">
        <v>70</v>
      </c>
      <c r="D133" s="833"/>
      <c r="E133" s="833"/>
      <c r="F133" s="833"/>
      <c r="G133" s="833"/>
      <c r="H133" s="833"/>
      <c r="I133" s="833"/>
      <c r="J133" s="833"/>
      <c r="K133" s="833"/>
      <c r="L133" s="833"/>
      <c r="M133" s="833"/>
      <c r="N133" s="833"/>
      <c r="O133" s="833"/>
      <c r="P133" s="833"/>
      <c r="Q133" s="833"/>
    </row>
    <row r="134" spans="2:17" s="4" customFormat="1" ht="15" customHeight="1">
      <c r="B134" s="154"/>
      <c r="C134" s="833"/>
      <c r="D134" s="833"/>
      <c r="E134" s="833"/>
      <c r="F134" s="833"/>
      <c r="G134" s="833"/>
      <c r="H134" s="833"/>
      <c r="I134" s="833"/>
      <c r="J134" s="833"/>
      <c r="K134" s="833"/>
      <c r="L134" s="833"/>
      <c r="M134" s="833"/>
      <c r="N134" s="833"/>
      <c r="O134" s="833"/>
      <c r="P134" s="833"/>
      <c r="Q134" s="833"/>
    </row>
    <row r="135" spans="2:17" s="4" customFormat="1" ht="15" customHeight="1">
      <c r="B135" s="154"/>
      <c r="C135" s="833"/>
      <c r="D135" s="833"/>
      <c r="E135" s="833"/>
      <c r="F135" s="833"/>
      <c r="G135" s="833"/>
      <c r="H135" s="833"/>
      <c r="I135" s="833"/>
      <c r="J135" s="833"/>
      <c r="K135" s="833"/>
      <c r="L135" s="833"/>
      <c r="M135" s="833"/>
      <c r="N135" s="833"/>
      <c r="O135" s="833"/>
      <c r="P135" s="833"/>
      <c r="Q135" s="833"/>
    </row>
    <row r="136" spans="2:17" s="4" customFormat="1" ht="15">
      <c r="B136" s="154"/>
      <c r="C136" s="833"/>
      <c r="D136" s="833"/>
      <c r="E136" s="833"/>
      <c r="F136" s="833"/>
      <c r="G136" s="833"/>
      <c r="H136" s="833"/>
      <c r="I136" s="833"/>
      <c r="J136" s="833"/>
      <c r="K136" s="833"/>
      <c r="L136" s="833"/>
      <c r="M136" s="833"/>
      <c r="N136" s="833"/>
      <c r="O136" s="833"/>
      <c r="P136" s="833"/>
      <c r="Q136" s="833"/>
    </row>
    <row r="137" spans="2:17" s="4" customFormat="1" ht="15">
      <c r="B137" s="156" t="s">
        <v>71</v>
      </c>
      <c r="C137" s="833" t="s">
        <v>72</v>
      </c>
      <c r="D137" s="833"/>
      <c r="E137" s="833"/>
      <c r="F137" s="833"/>
      <c r="G137" s="833"/>
      <c r="H137" s="833"/>
      <c r="I137" s="833"/>
      <c r="J137" s="833"/>
      <c r="K137" s="833"/>
      <c r="L137" s="833"/>
      <c r="M137" s="833"/>
      <c r="N137" s="833"/>
      <c r="O137" s="833"/>
      <c r="P137" s="833"/>
      <c r="Q137" s="833"/>
    </row>
    <row r="138" spans="2:17" s="4" customFormat="1" ht="15">
      <c r="B138" s="5"/>
      <c r="C138" s="833"/>
      <c r="D138" s="833"/>
      <c r="E138" s="833"/>
      <c r="F138" s="833"/>
      <c r="G138" s="833"/>
      <c r="H138" s="833"/>
      <c r="I138" s="833"/>
      <c r="J138" s="833"/>
      <c r="K138" s="833"/>
      <c r="L138" s="833"/>
      <c r="M138" s="833"/>
      <c r="N138" s="833"/>
      <c r="O138" s="833"/>
      <c r="P138" s="833"/>
      <c r="Q138" s="833"/>
    </row>
    <row r="139" spans="2:17" s="4" customFormat="1" ht="15">
      <c r="B139" s="5"/>
      <c r="C139" s="833"/>
      <c r="D139" s="833"/>
      <c r="E139" s="833"/>
      <c r="F139" s="833"/>
      <c r="G139" s="833"/>
      <c r="H139" s="833"/>
      <c r="I139" s="833"/>
      <c r="J139" s="833"/>
      <c r="K139" s="833"/>
      <c r="L139" s="833"/>
      <c r="M139" s="833"/>
      <c r="N139" s="833"/>
      <c r="O139" s="833"/>
      <c r="P139" s="833"/>
      <c r="Q139" s="833"/>
    </row>
    <row r="140" spans="2:17" s="4" customFormat="1" ht="15">
      <c r="B140" s="5"/>
    </row>
    <row r="141" spans="2:17" s="4" customFormat="1" ht="15">
      <c r="B141" s="5"/>
    </row>
    <row r="142" spans="2:17" s="4" customFormat="1" ht="15">
      <c r="B142" s="5"/>
    </row>
    <row r="143" spans="2:17" s="4" customFormat="1" ht="15">
      <c r="B143" s="5"/>
    </row>
    <row r="144" spans="2:17" s="4" customFormat="1" ht="15">
      <c r="B144" s="5"/>
    </row>
    <row r="145" spans="2:2" s="4" customFormat="1" ht="15">
      <c r="B145" s="5"/>
    </row>
    <row r="146" spans="2:2" s="4" customFormat="1" ht="15">
      <c r="B146" s="5"/>
    </row>
    <row r="147" spans="2:2" s="4" customFormat="1" ht="15">
      <c r="B147" s="5"/>
    </row>
    <row r="148" spans="2:2" s="4" customFormat="1" ht="15">
      <c r="B148" s="5"/>
    </row>
    <row r="149" spans="2:2" s="4" customFormat="1" ht="15">
      <c r="B149" s="5"/>
    </row>
    <row r="150" spans="2:2" s="4" customFormat="1" ht="15">
      <c r="B150" s="5"/>
    </row>
    <row r="151" spans="2:2" s="4" customFormat="1" ht="15">
      <c r="B151" s="5"/>
    </row>
    <row r="152" spans="2:2" s="4" customFormat="1" ht="15">
      <c r="B152" s="5"/>
    </row>
    <row r="153" spans="2:2" s="4" customFormat="1" ht="15">
      <c r="B153" s="5"/>
    </row>
    <row r="154" spans="2:2" s="4" customFormat="1" ht="15">
      <c r="B154" s="5"/>
    </row>
    <row r="155" spans="2:2" s="4" customFormat="1" ht="15">
      <c r="B155" s="5"/>
    </row>
    <row r="156" spans="2:2" s="4" customFormat="1" ht="15">
      <c r="B156" s="5"/>
    </row>
    <row r="157" spans="2:2" s="4" customFormat="1" ht="15">
      <c r="B157" s="5"/>
    </row>
    <row r="158" spans="2:2" s="4" customFormat="1" ht="15">
      <c r="B158" s="5"/>
    </row>
    <row r="159" spans="2:2" s="4" customFormat="1" ht="15">
      <c r="B159" s="5"/>
    </row>
    <row r="160" spans="2:2" s="4" customFormat="1" ht="15">
      <c r="B160" s="5"/>
    </row>
    <row r="161" spans="2:2" s="4" customFormat="1" ht="15">
      <c r="B161" s="5"/>
    </row>
    <row r="162" spans="2:2" s="4" customFormat="1" ht="15">
      <c r="B162" s="5"/>
    </row>
    <row r="163" spans="2:2" s="4" customFormat="1" ht="15">
      <c r="B163" s="5"/>
    </row>
    <row r="164" spans="2:2" s="4" customFormat="1" ht="15">
      <c r="B164" s="5"/>
    </row>
    <row r="165" spans="2:2" s="4" customFormat="1" ht="15">
      <c r="B165" s="5"/>
    </row>
    <row r="166" spans="2:2" s="4" customFormat="1" ht="15">
      <c r="B166" s="5"/>
    </row>
    <row r="167" spans="2:2" s="4" customFormat="1" ht="15">
      <c r="B167" s="5"/>
    </row>
    <row r="168" spans="2:2" s="4" customFormat="1" ht="15">
      <c r="B168" s="5"/>
    </row>
    <row r="169" spans="2:2" s="4" customFormat="1" ht="15">
      <c r="B169" s="5"/>
    </row>
    <row r="170" spans="2:2" s="4" customFormat="1" ht="15">
      <c r="B170" s="5"/>
    </row>
    <row r="171" spans="2:2" s="4" customFormat="1" ht="15">
      <c r="B171" s="5"/>
    </row>
    <row r="172" spans="2:2" s="4" customFormat="1" ht="15">
      <c r="B172" s="5"/>
    </row>
    <row r="173" spans="2:2" s="4" customFormat="1" ht="15">
      <c r="B173" s="5"/>
    </row>
    <row r="174" spans="2:2" s="4" customFormat="1" ht="15">
      <c r="B174" s="5"/>
    </row>
    <row r="175" spans="2:2" s="4" customFormat="1" ht="15">
      <c r="B175" s="5"/>
    </row>
    <row r="176" spans="2:2" s="4" customFormat="1" ht="15">
      <c r="B176" s="5"/>
    </row>
    <row r="177" spans="2:2" s="4" customFormat="1" ht="15">
      <c r="B177" s="5"/>
    </row>
    <row r="178" spans="2:2" s="4" customFormat="1" ht="15">
      <c r="B178" s="5"/>
    </row>
    <row r="179" spans="2:2" s="4" customFormat="1" ht="15">
      <c r="B179" s="5"/>
    </row>
    <row r="180" spans="2:2" s="4" customFormat="1" ht="15">
      <c r="B180" s="5"/>
    </row>
    <row r="181" spans="2:2" s="4" customFormat="1" ht="15">
      <c r="B181" s="5"/>
    </row>
    <row r="182" spans="2:2" s="4" customFormat="1" ht="15">
      <c r="B182" s="5"/>
    </row>
    <row r="183" spans="2:2" s="4" customFormat="1" ht="15">
      <c r="B183" s="5"/>
    </row>
    <row r="184" spans="2:2" s="4" customFormat="1" ht="15">
      <c r="B184" s="5"/>
    </row>
    <row r="185" spans="2:2" s="4" customFormat="1" ht="15">
      <c r="B185" s="5"/>
    </row>
    <row r="186" spans="2:2" s="4" customFormat="1" ht="15">
      <c r="B186" s="5"/>
    </row>
    <row r="187" spans="2:2" s="4" customFormat="1" ht="15">
      <c r="B187" s="5"/>
    </row>
    <row r="188" spans="2:2" s="4" customFormat="1" ht="15">
      <c r="B188" s="5"/>
    </row>
    <row r="189" spans="2:2" s="4" customFormat="1" ht="15">
      <c r="B189" s="5"/>
    </row>
    <row r="190" spans="2:2" s="4" customFormat="1" ht="15">
      <c r="B190" s="5"/>
    </row>
    <row r="191" spans="2:2" s="4" customFormat="1" ht="15">
      <c r="B191" s="5"/>
    </row>
    <row r="192" spans="2:2" s="4" customFormat="1" ht="15">
      <c r="B192" s="5"/>
    </row>
    <row r="193" spans="2:2" s="4" customFormat="1" ht="15">
      <c r="B193" s="5"/>
    </row>
    <row r="194" spans="2:2" s="4" customFormat="1" ht="15">
      <c r="B194" s="5"/>
    </row>
    <row r="195" spans="2:2" s="4" customFormat="1" ht="15">
      <c r="B195" s="5"/>
    </row>
    <row r="196" spans="2:2" s="4" customFormat="1" ht="15">
      <c r="B196" s="5"/>
    </row>
    <row r="197" spans="2:2" s="4" customFormat="1" ht="15">
      <c r="B197" s="5"/>
    </row>
    <row r="198" spans="2:2" s="4" customFormat="1" ht="15">
      <c r="B198" s="5"/>
    </row>
    <row r="199" spans="2:2" s="4" customFormat="1" ht="15">
      <c r="B199" s="5"/>
    </row>
    <row r="200" spans="2:2" s="4" customFormat="1" ht="15">
      <c r="B200" s="5"/>
    </row>
    <row r="201" spans="2:2" s="4" customFormat="1" ht="15">
      <c r="B201" s="5"/>
    </row>
    <row r="202" spans="2:2" s="4" customFormat="1" ht="15">
      <c r="B202" s="5"/>
    </row>
    <row r="203" spans="2:2" s="4" customFormat="1" ht="15">
      <c r="B203" s="5"/>
    </row>
    <row r="204" spans="2:2" s="4" customFormat="1" ht="15">
      <c r="B204" s="5"/>
    </row>
    <row r="205" spans="2:2" s="4" customFormat="1" ht="15">
      <c r="B205" s="5"/>
    </row>
    <row r="206" spans="2:2" s="4" customFormat="1" ht="15">
      <c r="B206" s="5"/>
    </row>
    <row r="207" spans="2:2" s="4" customFormat="1" ht="15">
      <c r="B207" s="5"/>
    </row>
    <row r="208" spans="2:2" s="4" customFormat="1" ht="15">
      <c r="B208" s="5"/>
    </row>
    <row r="209" spans="2:2" s="4" customFormat="1" ht="15">
      <c r="B209" s="5"/>
    </row>
    <row r="210" spans="2:2" s="4" customFormat="1" ht="15">
      <c r="B210" s="5"/>
    </row>
    <row r="211" spans="2:2" s="4" customFormat="1" ht="15">
      <c r="B211" s="5"/>
    </row>
    <row r="212" spans="2:2" s="4" customFormat="1" ht="15">
      <c r="B212" s="5"/>
    </row>
    <row r="213" spans="2:2" s="4" customFormat="1" ht="15">
      <c r="B213" s="5"/>
    </row>
    <row r="214" spans="2:2" s="4" customFormat="1" ht="15">
      <c r="B214" s="5"/>
    </row>
    <row r="215" spans="2:2" s="4" customFormat="1" ht="15">
      <c r="B215" s="5"/>
    </row>
    <row r="216" spans="2:2" s="4" customFormat="1" ht="15">
      <c r="B216" s="5"/>
    </row>
    <row r="217" spans="2:2" s="4" customFormat="1" ht="15">
      <c r="B217" s="5"/>
    </row>
    <row r="218" spans="2:2" s="4" customFormat="1" ht="15">
      <c r="B218" s="5"/>
    </row>
    <row r="219" spans="2:2" s="4" customFormat="1" ht="15">
      <c r="B219" s="5"/>
    </row>
    <row r="220" spans="2:2" s="4" customFormat="1" ht="15">
      <c r="B220" s="5"/>
    </row>
    <row r="221" spans="2:2" s="4" customFormat="1" ht="15">
      <c r="B221" s="5"/>
    </row>
    <row r="222" spans="2:2" s="4" customFormat="1" ht="15">
      <c r="B222" s="5"/>
    </row>
    <row r="223" spans="2:2" s="4" customFormat="1" ht="15">
      <c r="B223" s="5"/>
    </row>
    <row r="224" spans="2:2" s="4" customFormat="1" ht="15">
      <c r="B224" s="5"/>
    </row>
    <row r="225" spans="2:2" s="4" customFormat="1" ht="15">
      <c r="B225" s="5"/>
    </row>
    <row r="226" spans="2:2" s="4" customFormat="1" ht="15">
      <c r="B226" s="5"/>
    </row>
    <row r="227" spans="2:2" s="4" customFormat="1" ht="15">
      <c r="B227" s="5"/>
    </row>
    <row r="228" spans="2:2" s="4" customFormat="1" ht="15">
      <c r="B228" s="5"/>
    </row>
    <row r="229" spans="2:2" s="4" customFormat="1" ht="15">
      <c r="B229" s="5"/>
    </row>
    <row r="230" spans="2:2" s="4" customFormat="1" ht="15">
      <c r="B230" s="5"/>
    </row>
    <row r="231" spans="2:2" s="4" customFormat="1" ht="15">
      <c r="B231" s="5"/>
    </row>
    <row r="232" spans="2:2" s="4" customFormat="1" ht="15">
      <c r="B232" s="5"/>
    </row>
    <row r="233" spans="2:2" s="4" customFormat="1" ht="15">
      <c r="B233" s="5"/>
    </row>
    <row r="234" spans="2:2" s="4" customFormat="1" ht="15">
      <c r="B234" s="5"/>
    </row>
    <row r="235" spans="2:2" s="4" customFormat="1" ht="15">
      <c r="B235" s="5"/>
    </row>
    <row r="236" spans="2:2" s="4" customFormat="1" ht="15">
      <c r="B236" s="5"/>
    </row>
    <row r="237" spans="2:2" s="4" customFormat="1" ht="15">
      <c r="B237" s="5"/>
    </row>
    <row r="238" spans="2:2" s="4" customFormat="1" ht="15">
      <c r="B238" s="5"/>
    </row>
    <row r="239" spans="2:2" s="4" customFormat="1" ht="15">
      <c r="B239" s="5"/>
    </row>
    <row r="240" spans="2:2" s="4" customFormat="1" ht="15">
      <c r="B240" s="5"/>
    </row>
    <row r="241" spans="2:2" s="4" customFormat="1" ht="15">
      <c r="B241" s="5"/>
    </row>
    <row r="242" spans="2:2" s="4" customFormat="1" ht="15">
      <c r="B242" s="5"/>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row r="640" spans="2:2">
      <c r="B640" s="3"/>
    </row>
    <row r="641" spans="2:2">
      <c r="B641" s="3"/>
    </row>
    <row r="642" spans="2:2">
      <c r="B642" s="3"/>
    </row>
    <row r="643" spans="2:2">
      <c r="B643" s="3"/>
    </row>
    <row r="644" spans="2:2">
      <c r="B644" s="3"/>
    </row>
    <row r="645" spans="2:2">
      <c r="B645" s="3"/>
    </row>
    <row r="646" spans="2:2">
      <c r="B646" s="3"/>
    </row>
    <row r="647" spans="2:2">
      <c r="B647" s="3"/>
    </row>
    <row r="648" spans="2:2">
      <c r="B648" s="3"/>
    </row>
    <row r="649" spans="2:2">
      <c r="B649" s="3"/>
    </row>
    <row r="650" spans="2:2">
      <c r="B650" s="3"/>
    </row>
    <row r="651" spans="2:2">
      <c r="B651" s="3"/>
    </row>
    <row r="652" spans="2:2">
      <c r="B652" s="3"/>
    </row>
    <row r="653" spans="2:2">
      <c r="B653" s="3"/>
    </row>
    <row r="654" spans="2:2">
      <c r="B654" s="3"/>
    </row>
    <row r="655" spans="2:2">
      <c r="B655" s="3"/>
    </row>
    <row r="656" spans="2:2">
      <c r="B656" s="3"/>
    </row>
    <row r="657" spans="2:2">
      <c r="B657" s="3"/>
    </row>
    <row r="658" spans="2:2">
      <c r="B658" s="3"/>
    </row>
    <row r="659" spans="2:2">
      <c r="B659" s="3"/>
    </row>
    <row r="660" spans="2:2">
      <c r="B660" s="3"/>
    </row>
    <row r="661" spans="2:2">
      <c r="B661" s="3"/>
    </row>
    <row r="662" spans="2:2">
      <c r="B662" s="3"/>
    </row>
    <row r="663" spans="2:2">
      <c r="B663" s="3"/>
    </row>
    <row r="664" spans="2:2">
      <c r="B664" s="3"/>
    </row>
    <row r="665" spans="2:2">
      <c r="B665" s="3"/>
    </row>
    <row r="666" spans="2:2">
      <c r="B666" s="3"/>
    </row>
    <row r="667" spans="2:2">
      <c r="B667" s="3"/>
    </row>
    <row r="668" spans="2:2">
      <c r="B668" s="3"/>
    </row>
    <row r="669" spans="2:2">
      <c r="B669" s="3"/>
    </row>
    <row r="670" spans="2:2">
      <c r="B670" s="3"/>
    </row>
    <row r="671" spans="2:2">
      <c r="B671" s="3"/>
    </row>
    <row r="672" spans="2:2">
      <c r="B672" s="3"/>
    </row>
    <row r="673" spans="2:2">
      <c r="B673" s="3"/>
    </row>
    <row r="674" spans="2:2">
      <c r="B674" s="3"/>
    </row>
    <row r="675" spans="2:2">
      <c r="B675" s="3"/>
    </row>
    <row r="676" spans="2:2">
      <c r="B676" s="3"/>
    </row>
    <row r="677" spans="2:2">
      <c r="B677" s="3"/>
    </row>
    <row r="678" spans="2:2">
      <c r="B678" s="3"/>
    </row>
    <row r="679" spans="2:2">
      <c r="B679" s="3"/>
    </row>
    <row r="680" spans="2:2">
      <c r="B680" s="3"/>
    </row>
    <row r="681" spans="2:2">
      <c r="B681" s="3"/>
    </row>
    <row r="682" spans="2:2">
      <c r="B682" s="3"/>
    </row>
    <row r="683" spans="2:2">
      <c r="B683" s="3"/>
    </row>
    <row r="684" spans="2:2">
      <c r="B684" s="3"/>
    </row>
    <row r="685" spans="2:2">
      <c r="B685" s="3"/>
    </row>
    <row r="686" spans="2:2">
      <c r="B686" s="3"/>
    </row>
    <row r="687" spans="2:2">
      <c r="B687" s="3"/>
    </row>
    <row r="688" spans="2:2">
      <c r="B688" s="3"/>
    </row>
    <row r="689" spans="2:2">
      <c r="B689" s="3"/>
    </row>
    <row r="690" spans="2:2">
      <c r="B690" s="3"/>
    </row>
    <row r="691" spans="2:2">
      <c r="B691" s="3"/>
    </row>
    <row r="692" spans="2:2">
      <c r="B692" s="3"/>
    </row>
    <row r="693" spans="2:2">
      <c r="B693" s="3"/>
    </row>
    <row r="694" spans="2:2">
      <c r="B694" s="3"/>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row r="706" spans="2:2">
      <c r="B706" s="3"/>
    </row>
    <row r="707" spans="2:2">
      <c r="B707" s="3"/>
    </row>
    <row r="708" spans="2:2">
      <c r="B708" s="3"/>
    </row>
    <row r="709" spans="2:2">
      <c r="B709" s="3"/>
    </row>
    <row r="710" spans="2:2">
      <c r="B710" s="3"/>
    </row>
    <row r="711" spans="2:2">
      <c r="B711" s="3"/>
    </row>
    <row r="712" spans="2:2">
      <c r="B712" s="3"/>
    </row>
    <row r="713" spans="2:2">
      <c r="B713" s="3"/>
    </row>
    <row r="714" spans="2:2">
      <c r="B714" s="3"/>
    </row>
    <row r="715" spans="2:2">
      <c r="B715" s="3"/>
    </row>
    <row r="716" spans="2:2">
      <c r="B716" s="3"/>
    </row>
    <row r="717" spans="2:2">
      <c r="B717" s="3"/>
    </row>
    <row r="718" spans="2:2">
      <c r="B718" s="3"/>
    </row>
    <row r="719" spans="2:2">
      <c r="B719" s="3"/>
    </row>
    <row r="720" spans="2:2">
      <c r="B720" s="3"/>
    </row>
    <row r="721" spans="2:2">
      <c r="B721" s="3"/>
    </row>
    <row r="722" spans="2:2">
      <c r="B722" s="3"/>
    </row>
    <row r="723" spans="2:2">
      <c r="B723" s="3"/>
    </row>
    <row r="724" spans="2:2">
      <c r="B724" s="3"/>
    </row>
    <row r="725" spans="2:2">
      <c r="B725" s="3"/>
    </row>
    <row r="726" spans="2:2">
      <c r="B726" s="3"/>
    </row>
    <row r="727" spans="2:2">
      <c r="B727" s="3"/>
    </row>
    <row r="728" spans="2:2">
      <c r="B728" s="3"/>
    </row>
    <row r="729" spans="2:2">
      <c r="B729" s="3"/>
    </row>
    <row r="730" spans="2:2">
      <c r="B730" s="3"/>
    </row>
    <row r="731" spans="2:2">
      <c r="B731" s="3"/>
    </row>
    <row r="732" spans="2:2">
      <c r="B732" s="3"/>
    </row>
    <row r="733" spans="2:2">
      <c r="B733" s="3"/>
    </row>
    <row r="734" spans="2:2">
      <c r="B734" s="3"/>
    </row>
    <row r="735" spans="2:2">
      <c r="B735" s="3"/>
    </row>
    <row r="736" spans="2:2">
      <c r="B736" s="3"/>
    </row>
    <row r="737" spans="2:2">
      <c r="B737" s="3"/>
    </row>
    <row r="738" spans="2:2">
      <c r="B738" s="3"/>
    </row>
    <row r="739" spans="2:2">
      <c r="B739" s="3"/>
    </row>
    <row r="740" spans="2:2">
      <c r="B740" s="3"/>
    </row>
    <row r="741" spans="2:2">
      <c r="B741" s="3"/>
    </row>
    <row r="742" spans="2:2">
      <c r="B742" s="3"/>
    </row>
    <row r="743" spans="2:2">
      <c r="B743" s="3"/>
    </row>
    <row r="744" spans="2:2">
      <c r="B744" s="3"/>
    </row>
    <row r="745" spans="2:2">
      <c r="B745" s="3"/>
    </row>
    <row r="746" spans="2:2">
      <c r="B746" s="3"/>
    </row>
    <row r="747" spans="2:2">
      <c r="B747" s="3"/>
    </row>
    <row r="748" spans="2:2">
      <c r="B748" s="3"/>
    </row>
    <row r="749" spans="2:2">
      <c r="B749" s="3"/>
    </row>
    <row r="750" spans="2:2">
      <c r="B750" s="3"/>
    </row>
    <row r="751" spans="2:2">
      <c r="B751" s="3"/>
    </row>
    <row r="752" spans="2:2">
      <c r="B752" s="3"/>
    </row>
    <row r="753" spans="2:2">
      <c r="B753" s="3"/>
    </row>
    <row r="754" spans="2:2">
      <c r="B754" s="3"/>
    </row>
    <row r="755" spans="2:2">
      <c r="B755" s="3"/>
    </row>
    <row r="756" spans="2:2">
      <c r="B756" s="3"/>
    </row>
    <row r="757" spans="2:2">
      <c r="B757" s="3"/>
    </row>
    <row r="758" spans="2:2">
      <c r="B758" s="3"/>
    </row>
    <row r="759" spans="2:2">
      <c r="B759" s="3"/>
    </row>
    <row r="760" spans="2:2">
      <c r="B760" s="3"/>
    </row>
    <row r="761" spans="2:2">
      <c r="B761" s="3"/>
    </row>
    <row r="762" spans="2:2">
      <c r="B762" s="3"/>
    </row>
    <row r="763" spans="2:2">
      <c r="B763" s="3"/>
    </row>
    <row r="764" spans="2:2">
      <c r="B764" s="3"/>
    </row>
    <row r="765" spans="2:2">
      <c r="B765" s="3"/>
    </row>
    <row r="766" spans="2:2">
      <c r="B766" s="3"/>
    </row>
    <row r="767" spans="2:2">
      <c r="B767" s="3"/>
    </row>
    <row r="768" spans="2:2">
      <c r="B768" s="3"/>
    </row>
    <row r="769" spans="2:2">
      <c r="B769" s="3"/>
    </row>
    <row r="770" spans="2:2">
      <c r="B770" s="3"/>
    </row>
    <row r="771" spans="2:2">
      <c r="B771" s="3"/>
    </row>
    <row r="772" spans="2:2">
      <c r="B772" s="3"/>
    </row>
    <row r="773" spans="2:2">
      <c r="B773" s="3"/>
    </row>
    <row r="774" spans="2:2">
      <c r="B774" s="3"/>
    </row>
    <row r="775" spans="2:2">
      <c r="B775" s="3"/>
    </row>
    <row r="776" spans="2:2">
      <c r="B776" s="3"/>
    </row>
    <row r="777" spans="2:2">
      <c r="B777" s="3"/>
    </row>
    <row r="778" spans="2:2">
      <c r="B778" s="3"/>
    </row>
    <row r="779" spans="2:2">
      <c r="B779" s="3"/>
    </row>
    <row r="780" spans="2:2">
      <c r="B780" s="3"/>
    </row>
    <row r="781" spans="2:2">
      <c r="B781" s="3"/>
    </row>
    <row r="782" spans="2:2">
      <c r="B782" s="3"/>
    </row>
    <row r="783" spans="2:2">
      <c r="B783" s="3"/>
    </row>
    <row r="784" spans="2:2">
      <c r="B784" s="3"/>
    </row>
    <row r="785" spans="2:2">
      <c r="B785" s="3"/>
    </row>
    <row r="786" spans="2:2">
      <c r="B786" s="3"/>
    </row>
    <row r="787" spans="2:2">
      <c r="B787" s="3"/>
    </row>
    <row r="788" spans="2:2">
      <c r="B788" s="3"/>
    </row>
    <row r="789" spans="2:2">
      <c r="B789" s="3"/>
    </row>
    <row r="790" spans="2:2">
      <c r="B790" s="3"/>
    </row>
    <row r="791" spans="2:2">
      <c r="B791" s="3"/>
    </row>
    <row r="792" spans="2:2">
      <c r="B792" s="3"/>
    </row>
    <row r="793" spans="2:2">
      <c r="B793" s="3"/>
    </row>
    <row r="794" spans="2:2">
      <c r="B794" s="3"/>
    </row>
    <row r="795" spans="2:2">
      <c r="B795" s="3"/>
    </row>
    <row r="796" spans="2:2">
      <c r="B796" s="3"/>
    </row>
    <row r="797" spans="2:2">
      <c r="B797" s="3"/>
    </row>
    <row r="798" spans="2:2">
      <c r="B798" s="3"/>
    </row>
    <row r="799" spans="2:2">
      <c r="B799" s="3"/>
    </row>
    <row r="800" spans="2:2">
      <c r="B800" s="3"/>
    </row>
    <row r="801" spans="2:2">
      <c r="B801" s="3"/>
    </row>
    <row r="802" spans="2:2">
      <c r="B802" s="3"/>
    </row>
    <row r="803" spans="2:2">
      <c r="B803" s="3"/>
    </row>
    <row r="804" spans="2:2">
      <c r="B804" s="3"/>
    </row>
    <row r="805" spans="2:2">
      <c r="B805" s="3"/>
    </row>
    <row r="806" spans="2:2">
      <c r="B806" s="3"/>
    </row>
    <row r="807" spans="2:2">
      <c r="B807" s="3"/>
    </row>
    <row r="808" spans="2:2">
      <c r="B808" s="3"/>
    </row>
    <row r="809" spans="2:2">
      <c r="B809" s="3"/>
    </row>
    <row r="810" spans="2:2">
      <c r="B810" s="3"/>
    </row>
    <row r="811" spans="2:2">
      <c r="B811" s="3"/>
    </row>
    <row r="812" spans="2:2">
      <c r="B812" s="3"/>
    </row>
    <row r="813" spans="2:2">
      <c r="B813" s="3"/>
    </row>
    <row r="814" spans="2:2">
      <c r="B814" s="3"/>
    </row>
    <row r="815" spans="2:2">
      <c r="B815" s="3"/>
    </row>
    <row r="816" spans="2:2">
      <c r="B816" s="3"/>
    </row>
    <row r="817" spans="2:2">
      <c r="B817" s="3"/>
    </row>
    <row r="818" spans="2:2">
      <c r="B818" s="3"/>
    </row>
    <row r="819" spans="2:2">
      <c r="B819" s="3"/>
    </row>
    <row r="820" spans="2:2">
      <c r="B820" s="3"/>
    </row>
    <row r="821" spans="2:2">
      <c r="B821" s="3"/>
    </row>
    <row r="822" spans="2:2">
      <c r="B822" s="3"/>
    </row>
    <row r="823" spans="2:2">
      <c r="B823" s="3"/>
    </row>
    <row r="824" spans="2:2">
      <c r="B824" s="3"/>
    </row>
    <row r="825" spans="2:2">
      <c r="B825" s="3"/>
    </row>
    <row r="826" spans="2:2">
      <c r="B826" s="3"/>
    </row>
    <row r="827" spans="2:2">
      <c r="B827" s="3"/>
    </row>
    <row r="828" spans="2:2">
      <c r="B828" s="3"/>
    </row>
    <row r="829" spans="2:2">
      <c r="B829" s="3"/>
    </row>
    <row r="830" spans="2:2">
      <c r="B830" s="3"/>
    </row>
    <row r="831" spans="2:2">
      <c r="B831" s="3"/>
    </row>
    <row r="832" spans="2:2">
      <c r="B832" s="3"/>
    </row>
    <row r="833" spans="2:2">
      <c r="B833" s="3"/>
    </row>
    <row r="834" spans="2:2">
      <c r="B834" s="3"/>
    </row>
    <row r="835" spans="2:2">
      <c r="B835" s="3"/>
    </row>
    <row r="836" spans="2:2">
      <c r="B836" s="3"/>
    </row>
    <row r="837" spans="2:2">
      <c r="B837" s="3"/>
    </row>
    <row r="838" spans="2:2">
      <c r="B838" s="3"/>
    </row>
    <row r="839" spans="2:2">
      <c r="B839" s="3"/>
    </row>
    <row r="840" spans="2:2">
      <c r="B840" s="3"/>
    </row>
    <row r="841" spans="2:2">
      <c r="B841" s="3"/>
    </row>
    <row r="842" spans="2:2">
      <c r="B842" s="3"/>
    </row>
    <row r="843" spans="2:2">
      <c r="B843" s="3"/>
    </row>
    <row r="844" spans="2:2">
      <c r="B844" s="3"/>
    </row>
    <row r="845" spans="2:2">
      <c r="B845" s="3"/>
    </row>
    <row r="846" spans="2:2">
      <c r="B846" s="3"/>
    </row>
    <row r="847" spans="2:2">
      <c r="B847" s="3"/>
    </row>
    <row r="848" spans="2:2">
      <c r="B848" s="3"/>
    </row>
    <row r="849" spans="2:2">
      <c r="B849" s="3"/>
    </row>
    <row r="850" spans="2:2">
      <c r="B850" s="3"/>
    </row>
    <row r="851" spans="2:2">
      <c r="B851" s="3"/>
    </row>
    <row r="852" spans="2:2">
      <c r="B852" s="3"/>
    </row>
    <row r="853" spans="2:2">
      <c r="B853" s="3"/>
    </row>
    <row r="854" spans="2:2">
      <c r="B854" s="3"/>
    </row>
    <row r="855" spans="2:2">
      <c r="B855" s="3"/>
    </row>
    <row r="856" spans="2:2">
      <c r="B856" s="3"/>
    </row>
    <row r="857" spans="2:2">
      <c r="B857" s="3"/>
    </row>
    <row r="858" spans="2:2">
      <c r="B858" s="3"/>
    </row>
    <row r="859" spans="2:2">
      <c r="B859" s="3"/>
    </row>
    <row r="860" spans="2:2">
      <c r="B860" s="3"/>
    </row>
    <row r="861" spans="2:2">
      <c r="B861" s="3"/>
    </row>
    <row r="862" spans="2:2">
      <c r="B862" s="3"/>
    </row>
    <row r="863" spans="2:2">
      <c r="B863" s="3"/>
    </row>
    <row r="864" spans="2:2">
      <c r="B864" s="3"/>
    </row>
    <row r="865" spans="2:2">
      <c r="B865" s="3"/>
    </row>
    <row r="866" spans="2:2">
      <c r="B866" s="3"/>
    </row>
    <row r="867" spans="2:2">
      <c r="B867" s="3"/>
    </row>
    <row r="868" spans="2:2">
      <c r="B868" s="3"/>
    </row>
    <row r="869" spans="2:2">
      <c r="B869" s="3"/>
    </row>
    <row r="870" spans="2:2">
      <c r="B870" s="3"/>
    </row>
    <row r="871" spans="2:2">
      <c r="B871" s="3"/>
    </row>
    <row r="872" spans="2:2">
      <c r="B872" s="3"/>
    </row>
    <row r="873" spans="2:2">
      <c r="B873" s="3"/>
    </row>
    <row r="874" spans="2:2">
      <c r="B874" s="3"/>
    </row>
    <row r="875" spans="2:2">
      <c r="B875" s="3"/>
    </row>
    <row r="876" spans="2:2">
      <c r="B876" s="3"/>
    </row>
    <row r="877" spans="2:2">
      <c r="B877" s="3"/>
    </row>
    <row r="878" spans="2:2">
      <c r="B878" s="3"/>
    </row>
    <row r="879" spans="2:2">
      <c r="B879" s="3"/>
    </row>
    <row r="880" spans="2:2">
      <c r="B880" s="3"/>
    </row>
    <row r="881" spans="2:2">
      <c r="B881" s="3"/>
    </row>
    <row r="882" spans="2:2">
      <c r="B882" s="3"/>
    </row>
    <row r="883" spans="2:2">
      <c r="B883" s="3"/>
    </row>
    <row r="884" spans="2:2">
      <c r="B884" s="3"/>
    </row>
    <row r="885" spans="2:2">
      <c r="B885" s="3"/>
    </row>
    <row r="886" spans="2:2">
      <c r="B886" s="3"/>
    </row>
    <row r="887" spans="2:2">
      <c r="B887" s="3"/>
    </row>
    <row r="888" spans="2:2">
      <c r="B888" s="3"/>
    </row>
    <row r="889" spans="2:2">
      <c r="B889" s="3"/>
    </row>
    <row r="890" spans="2:2">
      <c r="B890" s="3"/>
    </row>
    <row r="891" spans="2:2">
      <c r="B891" s="3"/>
    </row>
    <row r="892" spans="2:2">
      <c r="B892" s="3"/>
    </row>
    <row r="893" spans="2:2">
      <c r="B893" s="3"/>
    </row>
    <row r="894" spans="2:2">
      <c r="B894" s="3"/>
    </row>
    <row r="895" spans="2:2">
      <c r="B895" s="3"/>
    </row>
    <row r="896" spans="2:2">
      <c r="B896" s="3"/>
    </row>
    <row r="897" spans="2:2">
      <c r="B897" s="3"/>
    </row>
    <row r="898" spans="2:2">
      <c r="B898" s="3"/>
    </row>
    <row r="899" spans="2:2">
      <c r="B899" s="3"/>
    </row>
    <row r="900" spans="2:2">
      <c r="B900" s="3"/>
    </row>
    <row r="901" spans="2:2">
      <c r="B901" s="3"/>
    </row>
    <row r="902" spans="2:2">
      <c r="B902" s="3"/>
    </row>
    <row r="903" spans="2:2">
      <c r="B903" s="3"/>
    </row>
    <row r="904" spans="2:2">
      <c r="B904" s="3"/>
    </row>
    <row r="905" spans="2:2">
      <c r="B905" s="3"/>
    </row>
    <row r="906" spans="2:2">
      <c r="B906" s="3"/>
    </row>
    <row r="907" spans="2:2">
      <c r="B907" s="3"/>
    </row>
    <row r="908" spans="2:2">
      <c r="B908" s="3"/>
    </row>
    <row r="909" spans="2:2">
      <c r="B909" s="3"/>
    </row>
    <row r="910" spans="2:2">
      <c r="B910" s="3"/>
    </row>
    <row r="911" spans="2:2">
      <c r="B911" s="3"/>
    </row>
    <row r="912" spans="2:2">
      <c r="B912" s="3"/>
    </row>
    <row r="913" spans="2:2">
      <c r="B913" s="3"/>
    </row>
    <row r="914" spans="2:2">
      <c r="B914" s="3"/>
    </row>
    <row r="915" spans="2:2">
      <c r="B915" s="3"/>
    </row>
    <row r="916" spans="2:2">
      <c r="B916" s="3"/>
    </row>
    <row r="917" spans="2:2">
      <c r="B917" s="3"/>
    </row>
    <row r="918" spans="2:2">
      <c r="B918" s="3"/>
    </row>
    <row r="919" spans="2:2">
      <c r="B919" s="3"/>
    </row>
    <row r="920" spans="2:2">
      <c r="B920" s="3"/>
    </row>
    <row r="921" spans="2:2">
      <c r="B921" s="3"/>
    </row>
    <row r="922" spans="2:2">
      <c r="B922" s="3"/>
    </row>
    <row r="923" spans="2:2">
      <c r="B923" s="3"/>
    </row>
    <row r="924" spans="2:2">
      <c r="B924" s="3"/>
    </row>
    <row r="925" spans="2:2">
      <c r="B925" s="3"/>
    </row>
    <row r="926" spans="2:2">
      <c r="B926" s="3"/>
    </row>
    <row r="927" spans="2:2">
      <c r="B927" s="3"/>
    </row>
    <row r="928" spans="2:2">
      <c r="B928" s="3"/>
    </row>
    <row r="929" spans="2:2">
      <c r="B929" s="3"/>
    </row>
    <row r="930" spans="2:2">
      <c r="B930" s="3"/>
    </row>
    <row r="931" spans="2:2">
      <c r="B931" s="3"/>
    </row>
    <row r="932" spans="2:2">
      <c r="B932" s="3"/>
    </row>
    <row r="933" spans="2:2">
      <c r="B933" s="3"/>
    </row>
    <row r="934" spans="2:2">
      <c r="B934" s="3"/>
    </row>
    <row r="935" spans="2:2">
      <c r="B935" s="3"/>
    </row>
    <row r="936" spans="2:2">
      <c r="B936" s="3"/>
    </row>
    <row r="937" spans="2:2">
      <c r="B937" s="3"/>
    </row>
    <row r="938" spans="2:2">
      <c r="B938" s="3"/>
    </row>
    <row r="939" spans="2:2">
      <c r="B939" s="3"/>
    </row>
    <row r="940" spans="2:2">
      <c r="B940" s="3"/>
    </row>
    <row r="941" spans="2:2">
      <c r="B941" s="3"/>
    </row>
    <row r="942" spans="2:2">
      <c r="B942" s="3"/>
    </row>
    <row r="943" spans="2:2">
      <c r="B943" s="3"/>
    </row>
    <row r="944" spans="2:2">
      <c r="B944" s="3"/>
    </row>
    <row r="945" spans="2:2">
      <c r="B945" s="3"/>
    </row>
    <row r="946" spans="2:2">
      <c r="B946" s="3"/>
    </row>
    <row r="947" spans="2:2">
      <c r="B947" s="3"/>
    </row>
    <row r="948" spans="2:2">
      <c r="B948" s="3"/>
    </row>
    <row r="949" spans="2:2">
      <c r="B949" s="3"/>
    </row>
    <row r="950" spans="2:2">
      <c r="B950" s="3"/>
    </row>
    <row r="951" spans="2:2">
      <c r="B951" s="3"/>
    </row>
    <row r="952" spans="2:2">
      <c r="B952" s="3"/>
    </row>
    <row r="953" spans="2:2">
      <c r="B953" s="3"/>
    </row>
    <row r="954" spans="2:2">
      <c r="B954" s="3"/>
    </row>
    <row r="955" spans="2:2">
      <c r="B955" s="3"/>
    </row>
    <row r="956" spans="2:2">
      <c r="B956" s="3"/>
    </row>
    <row r="957" spans="2:2">
      <c r="B957" s="3"/>
    </row>
    <row r="958" spans="2:2">
      <c r="B958" s="3"/>
    </row>
    <row r="959" spans="2:2">
      <c r="B959" s="3"/>
    </row>
    <row r="960" spans="2:2">
      <c r="B960" s="3"/>
    </row>
    <row r="961" spans="2:2">
      <c r="B961" s="3"/>
    </row>
    <row r="962" spans="2:2">
      <c r="B962" s="3"/>
    </row>
    <row r="963" spans="2:2">
      <c r="B963" s="3"/>
    </row>
    <row r="964" spans="2:2">
      <c r="B964" s="3"/>
    </row>
    <row r="965" spans="2:2">
      <c r="B965" s="3"/>
    </row>
    <row r="966" spans="2:2">
      <c r="B966" s="3"/>
    </row>
    <row r="967" spans="2:2">
      <c r="B967" s="3"/>
    </row>
    <row r="968" spans="2:2">
      <c r="B968" s="3"/>
    </row>
    <row r="969" spans="2:2">
      <c r="B969" s="3"/>
    </row>
    <row r="970" spans="2:2">
      <c r="B970" s="3"/>
    </row>
    <row r="971" spans="2:2">
      <c r="B971" s="3"/>
    </row>
    <row r="972" spans="2:2">
      <c r="B972" s="3"/>
    </row>
    <row r="973" spans="2:2">
      <c r="B973" s="3"/>
    </row>
    <row r="974" spans="2:2">
      <c r="B974" s="3"/>
    </row>
    <row r="975" spans="2:2">
      <c r="B975" s="3"/>
    </row>
    <row r="976" spans="2:2">
      <c r="B976" s="3"/>
    </row>
    <row r="977" spans="2:2">
      <c r="B977" s="3"/>
    </row>
    <row r="978" spans="2:2">
      <c r="B978" s="3"/>
    </row>
    <row r="979" spans="2:2">
      <c r="B979" s="3"/>
    </row>
    <row r="980" spans="2:2">
      <c r="B980" s="3"/>
    </row>
    <row r="981" spans="2:2">
      <c r="B981" s="3"/>
    </row>
    <row r="982" spans="2:2">
      <c r="B982" s="3"/>
    </row>
    <row r="983" spans="2:2">
      <c r="B983" s="3"/>
    </row>
    <row r="984" spans="2:2">
      <c r="B984" s="3"/>
    </row>
    <row r="985" spans="2:2">
      <c r="B985" s="3"/>
    </row>
    <row r="986" spans="2:2">
      <c r="B986" s="3"/>
    </row>
    <row r="987" spans="2:2">
      <c r="B987" s="3"/>
    </row>
    <row r="988" spans="2:2">
      <c r="B988" s="3"/>
    </row>
    <row r="989" spans="2:2">
      <c r="B989" s="3"/>
    </row>
    <row r="990" spans="2:2">
      <c r="B990" s="3"/>
    </row>
    <row r="991" spans="2:2">
      <c r="B991" s="3"/>
    </row>
    <row r="992" spans="2:2">
      <c r="B992" s="3"/>
    </row>
    <row r="993" spans="2:2">
      <c r="B993" s="3"/>
    </row>
    <row r="994" spans="2:2">
      <c r="B994" s="3"/>
    </row>
    <row r="995" spans="2:2">
      <c r="B995" s="3"/>
    </row>
    <row r="996" spans="2:2">
      <c r="B996" s="3"/>
    </row>
    <row r="997" spans="2:2">
      <c r="B997" s="3"/>
    </row>
    <row r="998" spans="2:2">
      <c r="B998" s="3"/>
    </row>
    <row r="999" spans="2:2">
      <c r="B999" s="3"/>
    </row>
    <row r="1000" spans="2:2">
      <c r="B1000" s="3"/>
    </row>
    <row r="1001" spans="2:2">
      <c r="B1001" s="3"/>
    </row>
    <row r="1002" spans="2:2">
      <c r="B1002" s="3"/>
    </row>
    <row r="1003" spans="2:2">
      <c r="B1003" s="3"/>
    </row>
    <row r="1004" spans="2:2">
      <c r="B1004" s="3"/>
    </row>
    <row r="1005" spans="2:2">
      <c r="B1005" s="3"/>
    </row>
    <row r="1006" spans="2:2">
      <c r="B1006" s="3"/>
    </row>
    <row r="1007" spans="2:2">
      <c r="B1007" s="3"/>
    </row>
    <row r="1008" spans="2:2">
      <c r="B1008" s="3"/>
    </row>
    <row r="1009" spans="2:2">
      <c r="B1009" s="3"/>
    </row>
    <row r="1010" spans="2:2">
      <c r="B1010" s="3"/>
    </row>
    <row r="1011" spans="2:2">
      <c r="B1011" s="3"/>
    </row>
    <row r="1012" spans="2:2">
      <c r="B1012" s="3"/>
    </row>
    <row r="1013" spans="2:2">
      <c r="B1013" s="3"/>
    </row>
    <row r="1014" spans="2:2">
      <c r="B1014" s="3"/>
    </row>
    <row r="1015" spans="2:2">
      <c r="B1015" s="3"/>
    </row>
    <row r="1016" spans="2:2">
      <c r="B1016" s="3"/>
    </row>
    <row r="1017" spans="2:2">
      <c r="B1017" s="3"/>
    </row>
    <row r="1018" spans="2:2">
      <c r="B1018" s="3"/>
    </row>
    <row r="1019" spans="2:2">
      <c r="B1019" s="3"/>
    </row>
    <row r="1020" spans="2:2">
      <c r="B1020" s="3"/>
    </row>
    <row r="1021" spans="2:2">
      <c r="B1021" s="3"/>
    </row>
    <row r="1022" spans="2:2">
      <c r="B1022" s="3"/>
    </row>
    <row r="1023" spans="2:2">
      <c r="B1023" s="3"/>
    </row>
    <row r="1024" spans="2:2">
      <c r="B1024" s="3"/>
    </row>
    <row r="1025" spans="2:2">
      <c r="B1025" s="3"/>
    </row>
    <row r="1026" spans="2:2">
      <c r="B1026" s="3"/>
    </row>
    <row r="1027" spans="2:2">
      <c r="B1027" s="3"/>
    </row>
    <row r="1028" spans="2:2">
      <c r="B1028" s="3"/>
    </row>
    <row r="1029" spans="2:2">
      <c r="B1029" s="3"/>
    </row>
    <row r="1030" spans="2:2">
      <c r="B1030" s="3"/>
    </row>
    <row r="1031" spans="2:2">
      <c r="B1031" s="3"/>
    </row>
    <row r="1032" spans="2:2">
      <c r="B1032" s="3"/>
    </row>
    <row r="1033" spans="2:2">
      <c r="B1033" s="3"/>
    </row>
    <row r="1034" spans="2:2">
      <c r="B1034" s="3"/>
    </row>
    <row r="1035" spans="2:2">
      <c r="B1035" s="3"/>
    </row>
    <row r="1036" spans="2:2">
      <c r="B1036" s="3"/>
    </row>
    <row r="1037" spans="2:2">
      <c r="B1037" s="3"/>
    </row>
    <row r="1038" spans="2:2">
      <c r="B1038" s="3"/>
    </row>
    <row r="1039" spans="2:2">
      <c r="B1039" s="3"/>
    </row>
    <row r="1040" spans="2:2">
      <c r="B1040" s="3"/>
    </row>
    <row r="1041" spans="2:2">
      <c r="B1041" s="3"/>
    </row>
    <row r="1042" spans="2:2">
      <c r="B1042" s="3"/>
    </row>
    <row r="1043" spans="2:2">
      <c r="B1043" s="3"/>
    </row>
    <row r="1044" spans="2:2">
      <c r="B1044" s="3"/>
    </row>
    <row r="1045" spans="2:2">
      <c r="B1045" s="3"/>
    </row>
    <row r="1046" spans="2:2">
      <c r="B1046" s="3"/>
    </row>
    <row r="1047" spans="2:2">
      <c r="B1047" s="3"/>
    </row>
    <row r="1048" spans="2:2">
      <c r="B1048" s="3"/>
    </row>
    <row r="1049" spans="2:2">
      <c r="B1049" s="3"/>
    </row>
    <row r="1050" spans="2:2">
      <c r="B1050" s="3"/>
    </row>
    <row r="1051" spans="2:2">
      <c r="B1051" s="3"/>
    </row>
    <row r="1052" spans="2:2">
      <c r="B1052" s="3"/>
    </row>
    <row r="1053" spans="2:2">
      <c r="B1053" s="3"/>
    </row>
    <row r="1054" spans="2:2">
      <c r="B1054" s="3"/>
    </row>
    <row r="1055" spans="2:2">
      <c r="B1055" s="3"/>
    </row>
    <row r="1056" spans="2:2">
      <c r="B1056" s="3"/>
    </row>
    <row r="1057" spans="2:2">
      <c r="B1057" s="3"/>
    </row>
    <row r="1058" spans="2:2">
      <c r="B1058" s="3"/>
    </row>
    <row r="1059" spans="2:2">
      <c r="B1059" s="3"/>
    </row>
    <row r="1060" spans="2:2">
      <c r="B1060" s="3"/>
    </row>
    <row r="1061" spans="2:2">
      <c r="B1061" s="3"/>
    </row>
    <row r="1062" spans="2:2">
      <c r="B1062" s="3"/>
    </row>
    <row r="1063" spans="2:2">
      <c r="B1063" s="3"/>
    </row>
    <row r="1064" spans="2:2">
      <c r="B1064" s="3"/>
    </row>
    <row r="1065" spans="2:2">
      <c r="B1065" s="3"/>
    </row>
    <row r="1066" spans="2:2">
      <c r="B1066" s="3"/>
    </row>
    <row r="1067" spans="2:2">
      <c r="B1067" s="3"/>
    </row>
    <row r="1068" spans="2:2">
      <c r="B1068" s="3"/>
    </row>
    <row r="1069" spans="2:2">
      <c r="B1069" s="3"/>
    </row>
    <row r="1070" spans="2:2">
      <c r="B1070" s="3"/>
    </row>
    <row r="1071" spans="2:2">
      <c r="B1071" s="3"/>
    </row>
    <row r="1072" spans="2:2">
      <c r="B1072" s="3"/>
    </row>
    <row r="1073" spans="2:2">
      <c r="B1073" s="3"/>
    </row>
    <row r="1074" spans="2:2">
      <c r="B1074" s="3"/>
    </row>
    <row r="1075" spans="2:2">
      <c r="B1075" s="3"/>
    </row>
    <row r="1076" spans="2:2">
      <c r="B1076" s="3"/>
    </row>
    <row r="1077" spans="2:2">
      <c r="B1077" s="3"/>
    </row>
    <row r="1078" spans="2:2">
      <c r="B1078" s="3"/>
    </row>
    <row r="1079" spans="2:2">
      <c r="B1079" s="3"/>
    </row>
    <row r="1080" spans="2:2">
      <c r="B1080" s="3"/>
    </row>
    <row r="1081" spans="2:2">
      <c r="B1081" s="3"/>
    </row>
    <row r="1082" spans="2:2">
      <c r="B1082" s="3"/>
    </row>
    <row r="1083" spans="2:2">
      <c r="B1083" s="3"/>
    </row>
    <row r="1084" spans="2:2">
      <c r="B1084" s="3"/>
    </row>
    <row r="1085" spans="2:2">
      <c r="B1085" s="3"/>
    </row>
    <row r="1086" spans="2:2">
      <c r="B1086" s="3"/>
    </row>
    <row r="1087" spans="2:2">
      <c r="B1087" s="3"/>
    </row>
    <row r="1088" spans="2:2">
      <c r="B1088" s="3"/>
    </row>
    <row r="1089" spans="2:2">
      <c r="B1089" s="3"/>
    </row>
    <row r="1090" spans="2:2">
      <c r="B1090" s="3"/>
    </row>
    <row r="1091" spans="2:2">
      <c r="B1091" s="3"/>
    </row>
    <row r="1092" spans="2:2">
      <c r="B1092" s="3"/>
    </row>
    <row r="1093" spans="2:2">
      <c r="B1093" s="3"/>
    </row>
    <row r="1094" spans="2:2">
      <c r="B1094" s="3"/>
    </row>
    <row r="1095" spans="2:2">
      <c r="B1095" s="3"/>
    </row>
    <row r="1096" spans="2:2">
      <c r="B1096" s="3"/>
    </row>
    <row r="1097" spans="2:2">
      <c r="B1097" s="3"/>
    </row>
    <row r="1098" spans="2:2">
      <c r="B1098" s="3"/>
    </row>
    <row r="1099" spans="2:2">
      <c r="B1099" s="3"/>
    </row>
    <row r="1100" spans="2:2">
      <c r="B1100" s="3"/>
    </row>
    <row r="1101" spans="2:2">
      <c r="B1101" s="3"/>
    </row>
    <row r="1102" spans="2:2">
      <c r="B1102" s="3"/>
    </row>
    <row r="1103" spans="2:2">
      <c r="B1103" s="3"/>
    </row>
    <row r="1104" spans="2:2">
      <c r="B1104" s="3"/>
    </row>
    <row r="1105" spans="2:2">
      <c r="B1105" s="3"/>
    </row>
    <row r="1106" spans="2:2">
      <c r="B1106" s="3"/>
    </row>
    <row r="1107" spans="2:2">
      <c r="B1107" s="3"/>
    </row>
    <row r="1108" spans="2:2">
      <c r="B1108" s="3"/>
    </row>
    <row r="1109" spans="2:2">
      <c r="B1109" s="3"/>
    </row>
    <row r="1110" spans="2:2">
      <c r="B1110" s="3"/>
    </row>
    <row r="1111" spans="2:2">
      <c r="B1111" s="3"/>
    </row>
    <row r="1112" spans="2:2">
      <c r="B1112" s="3"/>
    </row>
    <row r="1113" spans="2:2">
      <c r="B1113" s="3"/>
    </row>
    <row r="1114" spans="2:2">
      <c r="B1114" s="3"/>
    </row>
    <row r="1115" spans="2:2">
      <c r="B1115" s="3"/>
    </row>
    <row r="1116" spans="2:2">
      <c r="B1116" s="3"/>
    </row>
    <row r="1117" spans="2:2">
      <c r="B1117" s="3"/>
    </row>
    <row r="1118" spans="2:2">
      <c r="B1118" s="3"/>
    </row>
    <row r="1119" spans="2:2">
      <c r="B1119" s="3"/>
    </row>
    <row r="1120" spans="2:2">
      <c r="B1120" s="3"/>
    </row>
    <row r="1121" spans="2:2">
      <c r="B1121" s="3"/>
    </row>
    <row r="1122" spans="2:2">
      <c r="B1122" s="3"/>
    </row>
    <row r="1123" spans="2:2">
      <c r="B1123" s="3"/>
    </row>
    <row r="1124" spans="2:2">
      <c r="B1124" s="3"/>
    </row>
    <row r="1125" spans="2:2">
      <c r="B1125" s="3"/>
    </row>
    <row r="1126" spans="2:2">
      <c r="B1126" s="3"/>
    </row>
    <row r="1127" spans="2:2">
      <c r="B1127" s="3"/>
    </row>
    <row r="1128" spans="2:2">
      <c r="B1128" s="3"/>
    </row>
    <row r="1129" spans="2:2">
      <c r="B1129" s="3"/>
    </row>
    <row r="1130" spans="2:2">
      <c r="B1130" s="3"/>
    </row>
    <row r="1131" spans="2:2">
      <c r="B1131" s="3"/>
    </row>
    <row r="1132" spans="2:2">
      <c r="B1132" s="3"/>
    </row>
    <row r="1133" spans="2:2">
      <c r="B1133" s="3"/>
    </row>
    <row r="1134" spans="2:2">
      <c r="B1134" s="3"/>
    </row>
    <row r="1135" spans="2:2">
      <c r="B1135" s="3"/>
    </row>
    <row r="1136" spans="2:2">
      <c r="B1136" s="3"/>
    </row>
    <row r="1137" spans="2:2">
      <c r="B1137" s="3"/>
    </row>
    <row r="1138" spans="2:2">
      <c r="B1138" s="3"/>
    </row>
    <row r="1139" spans="2:2">
      <c r="B1139" s="3"/>
    </row>
    <row r="1140" spans="2:2">
      <c r="B1140" s="3"/>
    </row>
    <row r="1141" spans="2:2">
      <c r="B1141" s="3"/>
    </row>
    <row r="1142" spans="2:2">
      <c r="B1142" s="3"/>
    </row>
    <row r="1143" spans="2:2">
      <c r="B1143" s="3"/>
    </row>
    <row r="1144" spans="2:2">
      <c r="B1144" s="3"/>
    </row>
    <row r="1145" spans="2:2">
      <c r="B1145" s="3"/>
    </row>
    <row r="1146" spans="2:2">
      <c r="B1146" s="3"/>
    </row>
    <row r="1147" spans="2:2">
      <c r="B1147" s="3"/>
    </row>
    <row r="1148" spans="2:2">
      <c r="B1148" s="3"/>
    </row>
    <row r="1149" spans="2:2">
      <c r="B1149" s="3"/>
    </row>
    <row r="1150" spans="2:2">
      <c r="B1150" s="3"/>
    </row>
    <row r="1151" spans="2:2">
      <c r="B1151" s="3"/>
    </row>
    <row r="1152" spans="2:2">
      <c r="B1152" s="3"/>
    </row>
    <row r="1153" spans="2:2">
      <c r="B1153" s="3"/>
    </row>
    <row r="1154" spans="2:2">
      <c r="B1154" s="3"/>
    </row>
    <row r="1155" spans="2:2">
      <c r="B1155" s="3"/>
    </row>
    <row r="1156" spans="2:2">
      <c r="B1156" s="3"/>
    </row>
    <row r="1157" spans="2:2">
      <c r="B1157" s="3"/>
    </row>
    <row r="1158" spans="2:2">
      <c r="B1158" s="3"/>
    </row>
    <row r="1159" spans="2:2">
      <c r="B1159" s="3"/>
    </row>
    <row r="1160" spans="2:2">
      <c r="B1160" s="3"/>
    </row>
    <row r="1161" spans="2:2">
      <c r="B1161" s="3"/>
    </row>
    <row r="1162" spans="2:2">
      <c r="B1162" s="3"/>
    </row>
    <row r="1163" spans="2:2">
      <c r="B1163" s="3"/>
    </row>
    <row r="1164" spans="2:2">
      <c r="B1164" s="3"/>
    </row>
    <row r="1165" spans="2:2">
      <c r="B1165" s="3"/>
    </row>
    <row r="1166" spans="2:2">
      <c r="B1166" s="3"/>
    </row>
    <row r="1167" spans="2:2">
      <c r="B1167" s="3"/>
    </row>
    <row r="1168" spans="2:2">
      <c r="B1168" s="3"/>
    </row>
    <row r="1169" spans="2:2">
      <c r="B1169" s="3"/>
    </row>
    <row r="1170" spans="2:2">
      <c r="B1170" s="3"/>
    </row>
    <row r="1171" spans="2:2">
      <c r="B1171" s="3"/>
    </row>
    <row r="1172" spans="2:2">
      <c r="B1172" s="3"/>
    </row>
    <row r="1173" spans="2:2">
      <c r="B1173" s="3"/>
    </row>
    <row r="1174" spans="2:2">
      <c r="B1174" s="3"/>
    </row>
    <row r="1175" spans="2:2">
      <c r="B1175" s="3"/>
    </row>
    <row r="1176" spans="2:2">
      <c r="B1176" s="3"/>
    </row>
    <row r="1177" spans="2:2">
      <c r="B1177" s="3"/>
    </row>
    <row r="1178" spans="2:2">
      <c r="B1178" s="3"/>
    </row>
    <row r="1179" spans="2:2">
      <c r="B1179" s="3"/>
    </row>
    <row r="1180" spans="2:2">
      <c r="B1180" s="3"/>
    </row>
    <row r="1181" spans="2:2">
      <c r="B1181" s="3"/>
    </row>
    <row r="1182" spans="2:2">
      <c r="B1182" s="3"/>
    </row>
    <row r="1183" spans="2:2">
      <c r="B1183" s="3"/>
    </row>
    <row r="1184" spans="2:2">
      <c r="B1184" s="3"/>
    </row>
    <row r="1185" spans="2:2">
      <c r="B1185" s="3"/>
    </row>
    <row r="1186" spans="2:2">
      <c r="B1186" s="3"/>
    </row>
    <row r="1187" spans="2:2">
      <c r="B1187" s="3"/>
    </row>
    <row r="1188" spans="2:2">
      <c r="B1188" s="3"/>
    </row>
    <row r="1189" spans="2:2">
      <c r="B1189" s="3"/>
    </row>
    <row r="1190" spans="2:2">
      <c r="B1190" s="3"/>
    </row>
    <row r="1191" spans="2:2">
      <c r="B1191" s="3"/>
    </row>
    <row r="1192" spans="2:2">
      <c r="B1192" s="3"/>
    </row>
    <row r="1193" spans="2:2">
      <c r="B1193" s="3"/>
    </row>
    <row r="1194" spans="2:2">
      <c r="B1194" s="3"/>
    </row>
    <row r="1195" spans="2:2">
      <c r="B1195" s="3"/>
    </row>
    <row r="1196" spans="2:2">
      <c r="B1196" s="3"/>
    </row>
    <row r="1197" spans="2:2">
      <c r="B1197" s="3"/>
    </row>
    <row r="1198" spans="2:2">
      <c r="B1198" s="3"/>
    </row>
    <row r="1199" spans="2:2">
      <c r="B1199" s="3"/>
    </row>
    <row r="1200" spans="2:2">
      <c r="B1200" s="3"/>
    </row>
    <row r="1201" spans="2:2">
      <c r="B1201" s="3"/>
    </row>
    <row r="1202" spans="2:2">
      <c r="B1202" s="3"/>
    </row>
    <row r="1203" spans="2:2">
      <c r="B1203" s="3"/>
    </row>
    <row r="1204" spans="2:2">
      <c r="B1204" s="3"/>
    </row>
    <row r="1205" spans="2:2">
      <c r="B1205" s="3"/>
    </row>
    <row r="1206" spans="2:2">
      <c r="B1206" s="3"/>
    </row>
    <row r="1207" spans="2:2">
      <c r="B1207" s="3"/>
    </row>
    <row r="1208" spans="2:2">
      <c r="B1208" s="3"/>
    </row>
    <row r="1209" spans="2:2">
      <c r="B1209" s="3"/>
    </row>
    <row r="1210" spans="2:2">
      <c r="B1210" s="3"/>
    </row>
    <row r="1211" spans="2:2">
      <c r="B1211" s="3"/>
    </row>
    <row r="1212" spans="2:2">
      <c r="B1212" s="3"/>
    </row>
    <row r="1213" spans="2:2">
      <c r="B1213" s="3"/>
    </row>
    <row r="1214" spans="2:2">
      <c r="B1214" s="3"/>
    </row>
    <row r="1215" spans="2:2">
      <c r="B1215" s="3"/>
    </row>
    <row r="1216" spans="2:2">
      <c r="B1216" s="3"/>
    </row>
    <row r="1217" spans="2:2">
      <c r="B1217" s="3"/>
    </row>
    <row r="1218" spans="2:2">
      <c r="B1218" s="3"/>
    </row>
    <row r="1219" spans="2:2">
      <c r="B1219" s="3"/>
    </row>
    <row r="1220" spans="2:2">
      <c r="B1220" s="3"/>
    </row>
    <row r="1221" spans="2:2">
      <c r="B1221" s="3"/>
    </row>
    <row r="1222" spans="2:2">
      <c r="B1222" s="3"/>
    </row>
    <row r="1223" spans="2:2">
      <c r="B1223" s="3"/>
    </row>
    <row r="1224" spans="2:2">
      <c r="B1224" s="3"/>
    </row>
    <row r="1225" spans="2:2">
      <c r="B1225" s="3"/>
    </row>
    <row r="1226" spans="2:2">
      <c r="B1226" s="3"/>
    </row>
    <row r="1227" spans="2:2">
      <c r="B1227" s="3"/>
    </row>
    <row r="1228" spans="2:2">
      <c r="B1228" s="3"/>
    </row>
    <row r="1229" spans="2:2">
      <c r="B1229" s="3"/>
    </row>
    <row r="1230" spans="2:2">
      <c r="B1230" s="3"/>
    </row>
    <row r="1231" spans="2:2">
      <c r="B1231" s="3"/>
    </row>
    <row r="1232" spans="2:2">
      <c r="B1232" s="3"/>
    </row>
    <row r="1233" spans="2:2">
      <c r="B1233" s="3"/>
    </row>
    <row r="1234" spans="2:2">
      <c r="B1234" s="3"/>
    </row>
    <row r="1235" spans="2:2">
      <c r="B1235" s="3"/>
    </row>
    <row r="1236" spans="2:2">
      <c r="B1236" s="3"/>
    </row>
    <row r="1237" spans="2:2">
      <c r="B1237" s="3"/>
    </row>
    <row r="1238" spans="2:2">
      <c r="B1238" s="3"/>
    </row>
    <row r="1239" spans="2:2">
      <c r="B1239" s="3"/>
    </row>
    <row r="1240" spans="2:2">
      <c r="B1240" s="3"/>
    </row>
    <row r="1241" spans="2:2">
      <c r="B1241" s="3"/>
    </row>
    <row r="1242" spans="2:2">
      <c r="B1242" s="3"/>
    </row>
    <row r="1243" spans="2:2">
      <c r="B1243" s="3"/>
    </row>
    <row r="1244" spans="2:2">
      <c r="B1244" s="3"/>
    </row>
    <row r="1245" spans="2:2">
      <c r="B1245" s="3"/>
    </row>
    <row r="1246" spans="2:2">
      <c r="B1246" s="3"/>
    </row>
    <row r="1247" spans="2:2">
      <c r="B1247" s="3"/>
    </row>
    <row r="1248" spans="2:2">
      <c r="B1248" s="3"/>
    </row>
    <row r="1249" spans="2:2">
      <c r="B1249" s="3"/>
    </row>
    <row r="1250" spans="2:2">
      <c r="B1250" s="3"/>
    </row>
    <row r="1251" spans="2:2">
      <c r="B1251" s="3"/>
    </row>
    <row r="1252" spans="2:2">
      <c r="B1252" s="3"/>
    </row>
    <row r="1253" spans="2:2">
      <c r="B1253" s="3"/>
    </row>
    <row r="1254" spans="2:2">
      <c r="B1254" s="3"/>
    </row>
    <row r="1255" spans="2:2">
      <c r="B1255" s="3"/>
    </row>
    <row r="1256" spans="2:2">
      <c r="B1256" s="3"/>
    </row>
    <row r="1257" spans="2:2">
      <c r="B1257" s="3"/>
    </row>
    <row r="1258" spans="2:2">
      <c r="B1258" s="3"/>
    </row>
    <row r="1259" spans="2:2">
      <c r="B1259" s="3"/>
    </row>
    <row r="1260" spans="2:2">
      <c r="B1260" s="3"/>
    </row>
    <row r="1261" spans="2:2">
      <c r="B1261" s="3"/>
    </row>
    <row r="1262" spans="2:2">
      <c r="B1262" s="3"/>
    </row>
    <row r="1263" spans="2:2">
      <c r="B1263" s="3"/>
    </row>
    <row r="1264" spans="2:2">
      <c r="B1264" s="3"/>
    </row>
    <row r="1265" spans="2:2">
      <c r="B1265" s="3"/>
    </row>
    <row r="1266" spans="2:2">
      <c r="B1266" s="3"/>
    </row>
    <row r="1267" spans="2:2">
      <c r="B1267" s="3"/>
    </row>
    <row r="1268" spans="2:2">
      <c r="B1268" s="3"/>
    </row>
    <row r="1269" spans="2:2">
      <c r="B1269" s="3"/>
    </row>
    <row r="1270" spans="2:2">
      <c r="B1270" s="3"/>
    </row>
    <row r="1271" spans="2:2">
      <c r="B1271" s="3"/>
    </row>
    <row r="1272" spans="2:2">
      <c r="B1272" s="3"/>
    </row>
    <row r="1273" spans="2:2">
      <c r="B1273" s="3"/>
    </row>
    <row r="1274" spans="2:2">
      <c r="B1274" s="3"/>
    </row>
    <row r="1275" spans="2:2">
      <c r="B1275" s="3"/>
    </row>
    <row r="1276" spans="2:2">
      <c r="B1276" s="3"/>
    </row>
    <row r="1277" spans="2:2">
      <c r="B1277" s="3"/>
    </row>
    <row r="1278" spans="2:2">
      <c r="B1278" s="3"/>
    </row>
    <row r="1279" spans="2:2">
      <c r="B1279" s="3"/>
    </row>
    <row r="1280" spans="2:2">
      <c r="B1280" s="3"/>
    </row>
    <row r="1281" spans="2:2">
      <c r="B1281" s="3"/>
    </row>
    <row r="1282" spans="2:2">
      <c r="B1282" s="3"/>
    </row>
    <row r="1283" spans="2:2">
      <c r="B1283" s="3"/>
    </row>
    <row r="1284" spans="2:2">
      <c r="B1284" s="3"/>
    </row>
    <row r="1285" spans="2:2">
      <c r="B1285" s="3"/>
    </row>
    <row r="1286" spans="2:2">
      <c r="B1286" s="3"/>
    </row>
    <row r="1287" spans="2:2">
      <c r="B1287" s="3"/>
    </row>
    <row r="1288" spans="2:2">
      <c r="B1288" s="3"/>
    </row>
    <row r="1289" spans="2:2">
      <c r="B1289" s="3"/>
    </row>
    <row r="1290" spans="2:2">
      <c r="B1290" s="3"/>
    </row>
    <row r="1291" spans="2:2">
      <c r="B1291" s="3"/>
    </row>
    <row r="1292" spans="2:2">
      <c r="B1292" s="3"/>
    </row>
    <row r="1293" spans="2:2">
      <c r="B1293" s="3"/>
    </row>
    <row r="1294" spans="2:2">
      <c r="B1294" s="3"/>
    </row>
    <row r="1295" spans="2:2">
      <c r="B1295" s="3"/>
    </row>
    <row r="1296" spans="2:2">
      <c r="B1296" s="3"/>
    </row>
    <row r="1297" spans="2:2">
      <c r="B1297" s="3"/>
    </row>
    <row r="1298" spans="2:2">
      <c r="B1298" s="3"/>
    </row>
    <row r="1299" spans="2:2">
      <c r="B1299" s="3"/>
    </row>
    <row r="1300" spans="2:2">
      <c r="B1300" s="3"/>
    </row>
    <row r="1301" spans="2:2">
      <c r="B1301" s="3"/>
    </row>
    <row r="1302" spans="2:2">
      <c r="B1302" s="3"/>
    </row>
    <row r="1303" spans="2:2">
      <c r="B1303" s="3"/>
    </row>
    <row r="1304" spans="2:2">
      <c r="B1304" s="3"/>
    </row>
    <row r="1305" spans="2:2">
      <c r="B1305" s="3"/>
    </row>
    <row r="1306" spans="2:2">
      <c r="B1306" s="3"/>
    </row>
    <row r="1307" spans="2:2">
      <c r="B1307" s="3"/>
    </row>
    <row r="1308" spans="2:2">
      <c r="B1308" s="3"/>
    </row>
    <row r="1309" spans="2:2">
      <c r="B1309" s="3"/>
    </row>
    <row r="1310" spans="2:2">
      <c r="B1310" s="3"/>
    </row>
    <row r="1311" spans="2:2">
      <c r="B1311" s="3"/>
    </row>
    <row r="1312" spans="2:2">
      <c r="B1312" s="3"/>
    </row>
    <row r="1313" spans="2:2">
      <c r="B1313" s="3"/>
    </row>
    <row r="1314" spans="2:2">
      <c r="B1314" s="3"/>
    </row>
    <row r="1315" spans="2:2">
      <c r="B1315" s="3"/>
    </row>
    <row r="1316" spans="2:2">
      <c r="B1316" s="3"/>
    </row>
    <row r="1317" spans="2:2">
      <c r="B1317" s="3"/>
    </row>
    <row r="1318" spans="2:2">
      <c r="B1318" s="3"/>
    </row>
    <row r="1319" spans="2:2">
      <c r="B1319" s="3"/>
    </row>
    <row r="1320" spans="2:2">
      <c r="B1320" s="3"/>
    </row>
    <row r="1321" spans="2:2">
      <c r="B1321" s="3"/>
    </row>
    <row r="1322" spans="2:2">
      <c r="B1322" s="3"/>
    </row>
    <row r="1323" spans="2:2">
      <c r="B1323" s="3"/>
    </row>
    <row r="1324" spans="2:2">
      <c r="B1324" s="3"/>
    </row>
    <row r="1325" spans="2:2">
      <c r="B1325" s="3"/>
    </row>
    <row r="1326" spans="2:2">
      <c r="B1326" s="3"/>
    </row>
    <row r="1327" spans="2:2">
      <c r="B1327" s="3"/>
    </row>
    <row r="1328" spans="2:2">
      <c r="B1328" s="3"/>
    </row>
    <row r="1329" spans="2:2">
      <c r="B1329" s="3"/>
    </row>
    <row r="1330" spans="2:2">
      <c r="B1330" s="3"/>
    </row>
    <row r="1331" spans="2:2">
      <c r="B1331" s="3"/>
    </row>
    <row r="1332" spans="2:2">
      <c r="B1332" s="3"/>
    </row>
    <row r="1333" spans="2:2">
      <c r="B1333" s="3"/>
    </row>
    <row r="1334" spans="2:2">
      <c r="B1334" s="3"/>
    </row>
    <row r="1335" spans="2:2">
      <c r="B1335" s="3"/>
    </row>
    <row r="1336" spans="2:2">
      <c r="B1336" s="3"/>
    </row>
    <row r="1337" spans="2:2">
      <c r="B1337" s="3"/>
    </row>
    <row r="1338" spans="2:2">
      <c r="B1338" s="3"/>
    </row>
    <row r="1339" spans="2:2">
      <c r="B1339" s="3"/>
    </row>
    <row r="1340" spans="2:2">
      <c r="B1340" s="3"/>
    </row>
    <row r="1341" spans="2:2">
      <c r="B1341" s="3"/>
    </row>
    <row r="1342" spans="2:2">
      <c r="B1342" s="3"/>
    </row>
    <row r="1343" spans="2:2">
      <c r="B1343" s="3"/>
    </row>
    <row r="1344" spans="2:2">
      <c r="B1344" s="3"/>
    </row>
    <row r="1345" spans="2:2">
      <c r="B1345" s="3"/>
    </row>
    <row r="1346" spans="2:2">
      <c r="B1346" s="3"/>
    </row>
    <row r="1347" spans="2:2">
      <c r="B1347" s="3"/>
    </row>
    <row r="1348" spans="2:2">
      <c r="B1348" s="3"/>
    </row>
    <row r="1349" spans="2:2">
      <c r="B1349" s="3"/>
    </row>
    <row r="1350" spans="2:2">
      <c r="B1350" s="3"/>
    </row>
    <row r="1351" spans="2:2">
      <c r="B1351" s="3"/>
    </row>
    <row r="1352" spans="2:2">
      <c r="B1352" s="3"/>
    </row>
    <row r="1353" spans="2:2">
      <c r="B1353" s="3"/>
    </row>
    <row r="1354" spans="2:2">
      <c r="B1354" s="3"/>
    </row>
    <row r="1355" spans="2:2">
      <c r="B1355" s="3"/>
    </row>
    <row r="1356" spans="2:2">
      <c r="B1356" s="3"/>
    </row>
    <row r="1357" spans="2:2">
      <c r="B1357" s="3"/>
    </row>
    <row r="1358" spans="2:2">
      <c r="B1358" s="3"/>
    </row>
    <row r="1359" spans="2:2">
      <c r="B1359" s="3"/>
    </row>
    <row r="1360" spans="2:2">
      <c r="B1360" s="3"/>
    </row>
    <row r="1361" spans="2:2">
      <c r="B1361" s="3"/>
    </row>
    <row r="1362" spans="2:2">
      <c r="B1362" s="3"/>
    </row>
    <row r="1363" spans="2:2">
      <c r="B1363" s="3"/>
    </row>
    <row r="1364" spans="2:2">
      <c r="B1364" s="3"/>
    </row>
    <row r="1365" spans="2:2">
      <c r="B1365" s="3"/>
    </row>
    <row r="1366" spans="2:2">
      <c r="B1366" s="3"/>
    </row>
    <row r="1367" spans="2:2">
      <c r="B1367" s="3"/>
    </row>
    <row r="1368" spans="2:2">
      <c r="B1368" s="3"/>
    </row>
    <row r="1369" spans="2:2">
      <c r="B1369" s="3"/>
    </row>
    <row r="1370" spans="2:2">
      <c r="B1370" s="3"/>
    </row>
    <row r="1371" spans="2:2">
      <c r="B1371" s="3"/>
    </row>
    <row r="1372" spans="2:2">
      <c r="B1372" s="3"/>
    </row>
    <row r="1373" spans="2:2">
      <c r="B1373" s="3"/>
    </row>
    <row r="1374" spans="2:2">
      <c r="B1374" s="3"/>
    </row>
    <row r="1375" spans="2:2">
      <c r="B1375" s="3"/>
    </row>
    <row r="1376" spans="2:2">
      <c r="B1376" s="3"/>
    </row>
    <row r="1377" spans="2:2">
      <c r="B1377" s="3"/>
    </row>
    <row r="1378" spans="2:2">
      <c r="B1378" s="3"/>
    </row>
    <row r="1379" spans="2:2">
      <c r="B1379" s="3"/>
    </row>
    <row r="1380" spans="2:2">
      <c r="B1380" s="3"/>
    </row>
    <row r="1381" spans="2:2">
      <c r="B1381" s="3"/>
    </row>
    <row r="1382" spans="2:2">
      <c r="B1382" s="3"/>
    </row>
    <row r="1383" spans="2:2">
      <c r="B1383" s="3"/>
    </row>
    <row r="1384" spans="2:2">
      <c r="B1384" s="3"/>
    </row>
    <row r="1385" spans="2:2">
      <c r="B1385" s="3"/>
    </row>
    <row r="1386" spans="2:2">
      <c r="B1386" s="3"/>
    </row>
    <row r="1387" spans="2:2">
      <c r="B1387" s="3"/>
    </row>
    <row r="1388" spans="2:2">
      <c r="B1388" s="3"/>
    </row>
    <row r="1389" spans="2:2">
      <c r="B1389" s="3"/>
    </row>
    <row r="1390" spans="2:2">
      <c r="B1390" s="3"/>
    </row>
    <row r="1391" spans="2:2">
      <c r="B1391" s="3"/>
    </row>
    <row r="1392" spans="2:2">
      <c r="B1392" s="3"/>
    </row>
    <row r="1393" spans="2:2">
      <c r="B1393" s="3"/>
    </row>
    <row r="1394" spans="2:2">
      <c r="B1394" s="3"/>
    </row>
    <row r="1395" spans="2:2">
      <c r="B1395" s="3"/>
    </row>
    <row r="1396" spans="2:2">
      <c r="B1396" s="3"/>
    </row>
    <row r="1397" spans="2:2">
      <c r="B1397" s="3"/>
    </row>
    <row r="1398" spans="2:2">
      <c r="B1398" s="3"/>
    </row>
    <row r="1399" spans="2:2">
      <c r="B1399" s="3"/>
    </row>
    <row r="1400" spans="2:2">
      <c r="B1400" s="3"/>
    </row>
    <row r="1401" spans="2:2">
      <c r="B1401" s="3"/>
    </row>
    <row r="1402" spans="2:2">
      <c r="B1402" s="3"/>
    </row>
    <row r="1403" spans="2:2">
      <c r="B1403" s="3"/>
    </row>
    <row r="1404" spans="2:2">
      <c r="B1404" s="3"/>
    </row>
    <row r="1405" spans="2:2">
      <c r="B1405" s="3"/>
    </row>
    <row r="1406" spans="2:2">
      <c r="B1406" s="3"/>
    </row>
    <row r="1407" spans="2:2">
      <c r="B1407" s="3"/>
    </row>
    <row r="1408" spans="2:2">
      <c r="B1408" s="3"/>
    </row>
    <row r="1409" spans="2:2">
      <c r="B1409" s="3"/>
    </row>
    <row r="1410" spans="2:2">
      <c r="B1410" s="3"/>
    </row>
    <row r="1411" spans="2:2">
      <c r="B1411" s="3"/>
    </row>
    <row r="1412" spans="2:2">
      <c r="B1412" s="3"/>
    </row>
    <row r="1413" spans="2:2">
      <c r="B1413" s="3"/>
    </row>
    <row r="1414" spans="2:2">
      <c r="B1414" s="3"/>
    </row>
    <row r="1415" spans="2:2">
      <c r="B1415" s="3"/>
    </row>
    <row r="1416" spans="2:2">
      <c r="B1416" s="3"/>
    </row>
    <row r="1417" spans="2:2">
      <c r="B1417" s="3"/>
    </row>
    <row r="1418" spans="2:2">
      <c r="B1418" s="3"/>
    </row>
    <row r="1419" spans="2:2">
      <c r="B1419" s="3"/>
    </row>
    <row r="1420" spans="2:2">
      <c r="B1420" s="3"/>
    </row>
    <row r="1421" spans="2:2">
      <c r="B1421" s="3"/>
    </row>
    <row r="1422" spans="2:2">
      <c r="B1422" s="3"/>
    </row>
    <row r="1423" spans="2:2">
      <c r="B1423" s="3"/>
    </row>
    <row r="1424" spans="2:2">
      <c r="B1424" s="3"/>
    </row>
    <row r="1425" spans="2:2">
      <c r="B1425" s="3"/>
    </row>
    <row r="1426" spans="2:2">
      <c r="B1426" s="3"/>
    </row>
    <row r="1427" spans="2:2">
      <c r="B1427" s="3"/>
    </row>
    <row r="1428" spans="2:2">
      <c r="B1428" s="3"/>
    </row>
    <row r="1429" spans="2:2">
      <c r="B1429" s="3"/>
    </row>
    <row r="1430" spans="2:2">
      <c r="B1430" s="3"/>
    </row>
    <row r="1431" spans="2:2">
      <c r="B1431" s="3"/>
    </row>
    <row r="1432" spans="2:2">
      <c r="B1432" s="3"/>
    </row>
    <row r="1433" spans="2:2">
      <c r="B1433" s="3"/>
    </row>
    <row r="1434" spans="2:2">
      <c r="B1434" s="3"/>
    </row>
    <row r="1435" spans="2:2">
      <c r="B1435" s="3"/>
    </row>
    <row r="1436" spans="2:2">
      <c r="B1436" s="3"/>
    </row>
    <row r="1437" spans="2:2">
      <c r="B1437" s="3"/>
    </row>
    <row r="1438" spans="2:2">
      <c r="B1438" s="3"/>
    </row>
    <row r="1439" spans="2:2">
      <c r="B1439" s="3"/>
    </row>
    <row r="1440" spans="2:2">
      <c r="B1440" s="3"/>
    </row>
    <row r="1441" spans="2:2">
      <c r="B1441" s="3"/>
    </row>
    <row r="1442" spans="2:2">
      <c r="B1442" s="3"/>
    </row>
    <row r="1443" spans="2:2">
      <c r="B1443" s="3"/>
    </row>
    <row r="1444" spans="2:2">
      <c r="B1444" s="3"/>
    </row>
    <row r="1445" spans="2:2">
      <c r="B1445" s="3"/>
    </row>
    <row r="1446" spans="2:2">
      <c r="B1446" s="3"/>
    </row>
    <row r="1447" spans="2:2">
      <c r="B1447" s="3"/>
    </row>
    <row r="1448" spans="2:2">
      <c r="B1448" s="3"/>
    </row>
    <row r="1449" spans="2:2">
      <c r="B1449" s="3"/>
    </row>
    <row r="1450" spans="2:2">
      <c r="B1450" s="3"/>
    </row>
    <row r="1451" spans="2:2">
      <c r="B1451" s="3"/>
    </row>
    <row r="1452" spans="2:2">
      <c r="B1452" s="3"/>
    </row>
    <row r="1453" spans="2:2">
      <c r="B1453" s="3"/>
    </row>
    <row r="1454" spans="2:2">
      <c r="B1454" s="3"/>
    </row>
    <row r="1455" spans="2:2">
      <c r="B1455" s="3"/>
    </row>
    <row r="1456" spans="2:2">
      <c r="B1456" s="3"/>
    </row>
    <row r="1457" spans="2:2">
      <c r="B1457" s="3"/>
    </row>
    <row r="1458" spans="2:2">
      <c r="B1458" s="3"/>
    </row>
    <row r="1459" spans="2:2">
      <c r="B1459" s="3"/>
    </row>
    <row r="1460" spans="2:2">
      <c r="B1460" s="3"/>
    </row>
    <row r="1461" spans="2:2">
      <c r="B1461" s="3"/>
    </row>
    <row r="1462" spans="2:2">
      <c r="B1462" s="3"/>
    </row>
    <row r="1463" spans="2:2">
      <c r="B1463" s="3"/>
    </row>
    <row r="1464" spans="2:2">
      <c r="B1464" s="3"/>
    </row>
    <row r="1465" spans="2:2">
      <c r="B1465" s="3"/>
    </row>
    <row r="1466" spans="2:2">
      <c r="B1466" s="3"/>
    </row>
    <row r="1467" spans="2:2">
      <c r="B1467" s="3"/>
    </row>
    <row r="1468" spans="2:2">
      <c r="B1468" s="3"/>
    </row>
    <row r="1469" spans="2:2">
      <c r="B1469" s="3"/>
    </row>
    <row r="1470" spans="2:2">
      <c r="B1470" s="3"/>
    </row>
    <row r="1471" spans="2:2">
      <c r="B1471" s="3"/>
    </row>
    <row r="1472" spans="2:2">
      <c r="B1472" s="3"/>
    </row>
    <row r="1473" spans="2:2">
      <c r="B1473" s="3"/>
    </row>
    <row r="1474" spans="2:2">
      <c r="B1474" s="3"/>
    </row>
    <row r="1475" spans="2:2">
      <c r="B1475" s="3"/>
    </row>
    <row r="1476" spans="2:2">
      <c r="B1476" s="3"/>
    </row>
    <row r="1477" spans="2:2">
      <c r="B1477" s="3"/>
    </row>
    <row r="1478" spans="2:2">
      <c r="B1478" s="3"/>
    </row>
    <row r="1479" spans="2:2">
      <c r="B1479" s="3"/>
    </row>
    <row r="1480" spans="2:2">
      <c r="B1480" s="3"/>
    </row>
    <row r="1481" spans="2:2">
      <c r="B1481" s="3"/>
    </row>
    <row r="1482" spans="2:2">
      <c r="B1482" s="3"/>
    </row>
    <row r="1483" spans="2:2">
      <c r="B1483" s="3"/>
    </row>
    <row r="1484" spans="2:2">
      <c r="B1484" s="3"/>
    </row>
    <row r="1485" spans="2:2">
      <c r="B1485" s="3"/>
    </row>
    <row r="1486" spans="2:2">
      <c r="B1486" s="3"/>
    </row>
    <row r="1487" spans="2:2">
      <c r="B1487" s="3"/>
    </row>
    <row r="1488" spans="2:2">
      <c r="B1488" s="3"/>
    </row>
    <row r="1489" spans="2:2">
      <c r="B1489" s="3"/>
    </row>
    <row r="1490" spans="2:2">
      <c r="B1490" s="3"/>
    </row>
    <row r="1491" spans="2:2">
      <c r="B1491" s="3"/>
    </row>
    <row r="1492" spans="2:2">
      <c r="B1492" s="3"/>
    </row>
    <row r="1493" spans="2:2">
      <c r="B1493" s="3"/>
    </row>
    <row r="1494" spans="2:2">
      <c r="B1494" s="3"/>
    </row>
    <row r="1495" spans="2:2">
      <c r="B1495" s="3"/>
    </row>
    <row r="1496" spans="2:2">
      <c r="B1496" s="3"/>
    </row>
    <row r="1497" spans="2:2">
      <c r="B1497" s="3"/>
    </row>
    <row r="1498" spans="2:2">
      <c r="B1498" s="3"/>
    </row>
    <row r="1499" spans="2:2">
      <c r="B1499" s="3"/>
    </row>
    <row r="1500" spans="2:2">
      <c r="B1500" s="3"/>
    </row>
    <row r="1501" spans="2:2">
      <c r="B1501" s="3"/>
    </row>
    <row r="1502" spans="2:2">
      <c r="B1502" s="3"/>
    </row>
    <row r="1503" spans="2:2">
      <c r="B1503" s="3"/>
    </row>
    <row r="1504" spans="2:2">
      <c r="B1504" s="3"/>
    </row>
    <row r="1505" spans="2:2">
      <c r="B1505" s="3"/>
    </row>
    <row r="1506" spans="2:2">
      <c r="B1506" s="3"/>
    </row>
    <row r="1507" spans="2:2">
      <c r="B1507" s="3"/>
    </row>
    <row r="1508" spans="2:2">
      <c r="B1508" s="3"/>
    </row>
    <row r="1509" spans="2:2">
      <c r="B1509" s="3"/>
    </row>
    <row r="1510" spans="2:2">
      <c r="B1510" s="3"/>
    </row>
    <row r="1511" spans="2:2">
      <c r="B1511" s="3"/>
    </row>
    <row r="1512" spans="2:2">
      <c r="B1512" s="3"/>
    </row>
    <row r="1513" spans="2:2">
      <c r="B1513" s="3"/>
    </row>
    <row r="1514" spans="2:2">
      <c r="B1514" s="3"/>
    </row>
    <row r="1515" spans="2:2">
      <c r="B1515" s="3"/>
    </row>
    <row r="1516" spans="2:2">
      <c r="B1516" s="3"/>
    </row>
    <row r="1517" spans="2:2">
      <c r="B1517" s="3"/>
    </row>
    <row r="1518" spans="2:2">
      <c r="B1518" s="3"/>
    </row>
    <row r="1519" spans="2:2">
      <c r="B1519" s="3"/>
    </row>
    <row r="1520" spans="2:2">
      <c r="B1520" s="3"/>
    </row>
    <row r="1521" spans="2:2">
      <c r="B1521" s="3"/>
    </row>
    <row r="1522" spans="2:2">
      <c r="B1522" s="3"/>
    </row>
    <row r="1523" spans="2:2">
      <c r="B1523" s="3"/>
    </row>
    <row r="1524" spans="2:2">
      <c r="B1524" s="3"/>
    </row>
    <row r="1525" spans="2:2">
      <c r="B1525" s="3"/>
    </row>
    <row r="1526" spans="2:2">
      <c r="B1526" s="3"/>
    </row>
    <row r="1527" spans="2:2">
      <c r="B1527" s="3"/>
    </row>
    <row r="1528" spans="2:2">
      <c r="B1528" s="3"/>
    </row>
    <row r="1529" spans="2:2">
      <c r="B1529" s="3"/>
    </row>
    <row r="1530" spans="2:2">
      <c r="B1530" s="3"/>
    </row>
    <row r="1531" spans="2:2">
      <c r="B1531" s="3"/>
    </row>
    <row r="1532" spans="2:2">
      <c r="B1532" s="3"/>
    </row>
    <row r="1533" spans="2:2">
      <c r="B1533" s="3"/>
    </row>
    <row r="1534" spans="2:2">
      <c r="B1534" s="3"/>
    </row>
    <row r="1535" spans="2:2">
      <c r="B1535" s="3"/>
    </row>
    <row r="1536" spans="2:2">
      <c r="B1536" s="3"/>
    </row>
    <row r="1537" spans="2:2">
      <c r="B1537" s="3"/>
    </row>
    <row r="1538" spans="2:2">
      <c r="B1538" s="3"/>
    </row>
    <row r="1539" spans="2:2">
      <c r="B1539" s="3"/>
    </row>
    <row r="1540" spans="2:2">
      <c r="B1540" s="3"/>
    </row>
    <row r="1541" spans="2:2">
      <c r="B1541" s="3"/>
    </row>
    <row r="1542" spans="2:2">
      <c r="B1542" s="3"/>
    </row>
    <row r="1543" spans="2:2">
      <c r="B1543" s="3"/>
    </row>
    <row r="1544" spans="2:2">
      <c r="B1544" s="3"/>
    </row>
    <row r="1545" spans="2:2">
      <c r="B1545" s="3"/>
    </row>
    <row r="1546" spans="2:2">
      <c r="B1546" s="3"/>
    </row>
    <row r="1547" spans="2:2">
      <c r="B1547" s="3"/>
    </row>
    <row r="1548" spans="2:2">
      <c r="B1548" s="3"/>
    </row>
    <row r="1549" spans="2:2">
      <c r="B1549" s="3"/>
    </row>
    <row r="1550" spans="2:2">
      <c r="B1550" s="3"/>
    </row>
    <row r="1551" spans="2:2">
      <c r="B1551" s="3"/>
    </row>
    <row r="1552" spans="2:2">
      <c r="B1552" s="3"/>
    </row>
    <row r="1553" spans="2:2">
      <c r="B1553" s="3"/>
    </row>
    <row r="1554" spans="2:2">
      <c r="B1554" s="3"/>
    </row>
    <row r="1555" spans="2:2">
      <c r="B1555" s="3"/>
    </row>
    <row r="1556" spans="2:2">
      <c r="B1556" s="3"/>
    </row>
    <row r="1557" spans="2:2">
      <c r="B1557" s="3"/>
    </row>
    <row r="1558" spans="2:2">
      <c r="B1558" s="3"/>
    </row>
    <row r="1559" spans="2:2">
      <c r="B1559" s="3"/>
    </row>
    <row r="1560" spans="2:2">
      <c r="B1560" s="3"/>
    </row>
    <row r="1561" spans="2:2">
      <c r="B1561" s="3"/>
    </row>
    <row r="1562" spans="2:2">
      <c r="B1562" s="3"/>
    </row>
    <row r="1563" spans="2:2">
      <c r="B1563" s="3"/>
    </row>
    <row r="1564" spans="2:2">
      <c r="B1564" s="3"/>
    </row>
    <row r="1565" spans="2:2">
      <c r="B1565" s="3"/>
    </row>
    <row r="1566" spans="2:2">
      <c r="B1566" s="3"/>
    </row>
    <row r="1567" spans="2:2">
      <c r="B1567" s="3"/>
    </row>
    <row r="1568" spans="2:2">
      <c r="B1568" s="3"/>
    </row>
    <row r="1569" spans="2:2">
      <c r="B1569" s="3"/>
    </row>
    <row r="1570" spans="2:2">
      <c r="B1570" s="3"/>
    </row>
    <row r="1571" spans="2:2">
      <c r="B1571" s="3"/>
    </row>
    <row r="1572" spans="2:2">
      <c r="B1572" s="3"/>
    </row>
    <row r="1573" spans="2:2">
      <c r="B1573" s="3"/>
    </row>
    <row r="1574" spans="2:2">
      <c r="B1574" s="3"/>
    </row>
    <row r="1575" spans="2:2">
      <c r="B1575" s="3"/>
    </row>
    <row r="1576" spans="2:2">
      <c r="B1576" s="3"/>
    </row>
    <row r="1577" spans="2:2">
      <c r="B1577" s="3"/>
    </row>
    <row r="1578" spans="2:2">
      <c r="B1578" s="3"/>
    </row>
    <row r="1579" spans="2:2">
      <c r="B1579" s="3"/>
    </row>
    <row r="1580" spans="2:2">
      <c r="B1580" s="3"/>
    </row>
    <row r="1581" spans="2:2">
      <c r="B1581" s="3"/>
    </row>
    <row r="1582" spans="2:2">
      <c r="B1582" s="3"/>
    </row>
    <row r="1583" spans="2:2">
      <c r="B1583" s="3"/>
    </row>
    <row r="1584" spans="2:2">
      <c r="B1584" s="3"/>
    </row>
    <row r="1585" spans="2:2">
      <c r="B1585" s="3"/>
    </row>
    <row r="1586" spans="2:2">
      <c r="B1586" s="3"/>
    </row>
    <row r="1587" spans="2:2">
      <c r="B1587" s="3"/>
    </row>
    <row r="1588" spans="2:2">
      <c r="B1588" s="3"/>
    </row>
    <row r="1589" spans="2:2">
      <c r="B1589" s="3"/>
    </row>
    <row r="1590" spans="2:2">
      <c r="B1590" s="3"/>
    </row>
    <row r="1591" spans="2:2">
      <c r="B1591" s="3"/>
    </row>
    <row r="1592" spans="2:2">
      <c r="B1592" s="3"/>
    </row>
    <row r="1593" spans="2:2">
      <c r="B1593" s="3"/>
    </row>
    <row r="1594" spans="2:2">
      <c r="B1594" s="3"/>
    </row>
    <row r="1595" spans="2:2">
      <c r="B1595" s="3"/>
    </row>
    <row r="1596" spans="2:2">
      <c r="B1596" s="3"/>
    </row>
    <row r="1597" spans="2:2">
      <c r="B1597" s="3"/>
    </row>
    <row r="1598" spans="2:2">
      <c r="B1598" s="3"/>
    </row>
    <row r="1599" spans="2:2">
      <c r="B1599" s="3"/>
    </row>
    <row r="1600" spans="2:2">
      <c r="B1600" s="3"/>
    </row>
    <row r="1601" spans="2:2">
      <c r="B1601" s="3"/>
    </row>
    <row r="1602" spans="2:2">
      <c r="B1602" s="3"/>
    </row>
    <row r="1603" spans="2:2">
      <c r="B1603" s="3"/>
    </row>
    <row r="1604" spans="2:2">
      <c r="B1604" s="3"/>
    </row>
    <row r="1605" spans="2:2">
      <c r="B1605" s="3"/>
    </row>
    <row r="1606" spans="2:2">
      <c r="B1606" s="3"/>
    </row>
    <row r="1607" spans="2:2">
      <c r="B1607" s="3"/>
    </row>
    <row r="1608" spans="2:2">
      <c r="B1608" s="3"/>
    </row>
    <row r="1609" spans="2:2">
      <c r="B1609" s="3"/>
    </row>
    <row r="1610" spans="2:2">
      <c r="B1610" s="3"/>
    </row>
    <row r="1611" spans="2:2">
      <c r="B1611" s="3"/>
    </row>
    <row r="1612" spans="2:2">
      <c r="B1612" s="3"/>
    </row>
    <row r="1613" spans="2:2">
      <c r="B1613" s="3"/>
    </row>
    <row r="1614" spans="2:2">
      <c r="B1614" s="3"/>
    </row>
    <row r="1615" spans="2:2">
      <c r="B1615" s="3"/>
    </row>
    <row r="1616" spans="2:2">
      <c r="B1616" s="3"/>
    </row>
    <row r="1617" spans="2:2">
      <c r="B1617" s="3"/>
    </row>
    <row r="1618" spans="2:2">
      <c r="B1618" s="3"/>
    </row>
    <row r="1619" spans="2:2">
      <c r="B1619" s="3"/>
    </row>
    <row r="1620" spans="2:2">
      <c r="B1620" s="3"/>
    </row>
    <row r="1621" spans="2:2">
      <c r="B1621" s="3"/>
    </row>
    <row r="1622" spans="2:2">
      <c r="B1622" s="3"/>
    </row>
    <row r="1623" spans="2:2">
      <c r="B1623" s="3"/>
    </row>
    <row r="1624" spans="2:2">
      <c r="B1624" s="3"/>
    </row>
    <row r="1625" spans="2:2">
      <c r="B1625" s="3"/>
    </row>
    <row r="1626" spans="2:2">
      <c r="B1626" s="3"/>
    </row>
    <row r="1627" spans="2:2">
      <c r="B1627" s="3"/>
    </row>
    <row r="1628" spans="2:2">
      <c r="B1628" s="3"/>
    </row>
    <row r="1629" spans="2:2">
      <c r="B1629" s="3"/>
    </row>
    <row r="1630" spans="2:2">
      <c r="B1630" s="3"/>
    </row>
    <row r="1631" spans="2:2">
      <c r="B1631" s="3"/>
    </row>
    <row r="1632" spans="2:2">
      <c r="B1632" s="3"/>
    </row>
    <row r="1633" spans="2:2">
      <c r="B1633" s="3"/>
    </row>
    <row r="1634" spans="2:2">
      <c r="B1634" s="3"/>
    </row>
    <row r="1635" spans="2:2">
      <c r="B1635" s="3"/>
    </row>
    <row r="1636" spans="2:2">
      <c r="B1636" s="3"/>
    </row>
    <row r="1637" spans="2:2">
      <c r="B1637" s="3"/>
    </row>
    <row r="1638" spans="2:2">
      <c r="B1638" s="3"/>
    </row>
    <row r="1639" spans="2:2">
      <c r="B1639" s="3"/>
    </row>
    <row r="1640" spans="2:2">
      <c r="B1640" s="3"/>
    </row>
    <row r="1641" spans="2:2">
      <c r="B1641" s="3"/>
    </row>
    <row r="1642" spans="2:2">
      <c r="B1642" s="3"/>
    </row>
    <row r="1643" spans="2:2">
      <c r="B1643" s="3"/>
    </row>
    <row r="1644" spans="2:2">
      <c r="B1644" s="3"/>
    </row>
    <row r="1645" spans="2:2">
      <c r="B1645" s="3"/>
    </row>
    <row r="1646" spans="2:2">
      <c r="B1646" s="3"/>
    </row>
    <row r="1647" spans="2:2">
      <c r="B1647" s="3"/>
    </row>
    <row r="1648" spans="2:2">
      <c r="B1648" s="3"/>
    </row>
    <row r="1649" spans="2:2">
      <c r="B1649" s="3"/>
    </row>
    <row r="1650" spans="2:2">
      <c r="B1650" s="3"/>
    </row>
    <row r="1651" spans="2:2">
      <c r="B1651" s="3"/>
    </row>
    <row r="1652" spans="2:2">
      <c r="B1652" s="3"/>
    </row>
    <row r="1653" spans="2:2">
      <c r="B1653" s="3"/>
    </row>
    <row r="1654" spans="2:2">
      <c r="B1654" s="3"/>
    </row>
    <row r="1655" spans="2:2">
      <c r="B1655" s="3"/>
    </row>
    <row r="1656" spans="2:2">
      <c r="B1656" s="3"/>
    </row>
    <row r="1657" spans="2:2">
      <c r="B1657" s="3"/>
    </row>
    <row r="1658" spans="2:2">
      <c r="B1658" s="3"/>
    </row>
    <row r="1659" spans="2:2">
      <c r="B1659" s="3"/>
    </row>
    <row r="1660" spans="2:2">
      <c r="B1660" s="3"/>
    </row>
    <row r="1661" spans="2:2">
      <c r="B1661" s="3"/>
    </row>
    <row r="1662" spans="2:2">
      <c r="B1662" s="3"/>
    </row>
    <row r="1663" spans="2:2">
      <c r="B1663" s="3"/>
    </row>
    <row r="1664" spans="2:2">
      <c r="B1664" s="3"/>
    </row>
    <row r="1665" spans="2:2">
      <c r="B1665" s="3"/>
    </row>
    <row r="1666" spans="2:2">
      <c r="B1666" s="3"/>
    </row>
    <row r="1667" spans="2:2">
      <c r="B1667" s="3"/>
    </row>
    <row r="1668" spans="2:2">
      <c r="B1668" s="3"/>
    </row>
    <row r="1669" spans="2:2">
      <c r="B1669" s="3"/>
    </row>
    <row r="1670" spans="2:2">
      <c r="B1670" s="3"/>
    </row>
    <row r="1671" spans="2:2">
      <c r="B1671" s="3"/>
    </row>
    <row r="1672" spans="2:2">
      <c r="B1672" s="3"/>
    </row>
    <row r="1673" spans="2:2">
      <c r="B1673" s="3"/>
    </row>
    <row r="1674" spans="2:2">
      <c r="B1674" s="3"/>
    </row>
    <row r="1675" spans="2:2">
      <c r="B1675" s="3"/>
    </row>
    <row r="1676" spans="2:2">
      <c r="B1676" s="3"/>
    </row>
    <row r="1677" spans="2:2">
      <c r="B1677" s="3"/>
    </row>
    <row r="1678" spans="2:2">
      <c r="B1678" s="3"/>
    </row>
    <row r="1679" spans="2:2">
      <c r="B1679" s="3"/>
    </row>
    <row r="1680" spans="2:2">
      <c r="B1680" s="3"/>
    </row>
    <row r="1681" spans="2:2">
      <c r="B1681" s="3"/>
    </row>
    <row r="1682" spans="2:2">
      <c r="B1682" s="3"/>
    </row>
    <row r="1683" spans="2:2">
      <c r="B1683" s="3"/>
    </row>
    <row r="1684" spans="2:2">
      <c r="B1684" s="3"/>
    </row>
    <row r="1685" spans="2:2">
      <c r="B1685" s="3"/>
    </row>
    <row r="1686" spans="2:2">
      <c r="B1686" s="3"/>
    </row>
    <row r="1687" spans="2:2">
      <c r="B1687" s="3"/>
    </row>
    <row r="1688" spans="2:2">
      <c r="B1688" s="3"/>
    </row>
    <row r="1689" spans="2:2">
      <c r="B1689" s="3"/>
    </row>
    <row r="1690" spans="2:2">
      <c r="B1690" s="3"/>
    </row>
    <row r="1691" spans="2:2">
      <c r="B1691" s="3"/>
    </row>
    <row r="1692" spans="2:2">
      <c r="B1692" s="3"/>
    </row>
    <row r="1693" spans="2:2">
      <c r="B1693" s="3"/>
    </row>
    <row r="1694" spans="2:2">
      <c r="B1694" s="3"/>
    </row>
    <row r="1695" spans="2:2">
      <c r="B1695" s="3"/>
    </row>
    <row r="1696" spans="2:2">
      <c r="B1696" s="3"/>
    </row>
    <row r="1697" spans="2:2">
      <c r="B1697" s="3"/>
    </row>
    <row r="1698" spans="2:2">
      <c r="B1698" s="3"/>
    </row>
    <row r="1699" spans="2:2">
      <c r="B1699" s="3"/>
    </row>
    <row r="1700" spans="2:2">
      <c r="B1700" s="3"/>
    </row>
    <row r="1701" spans="2:2">
      <c r="B1701" s="3"/>
    </row>
    <row r="1702" spans="2:2">
      <c r="B1702" s="3"/>
    </row>
    <row r="1703" spans="2:2">
      <c r="B1703" s="3"/>
    </row>
    <row r="1704" spans="2:2">
      <c r="B1704" s="3"/>
    </row>
    <row r="1705" spans="2:2">
      <c r="B1705" s="3"/>
    </row>
    <row r="1706" spans="2:2">
      <c r="B1706" s="3"/>
    </row>
    <row r="1707" spans="2:2">
      <c r="B1707" s="3"/>
    </row>
    <row r="1708" spans="2:2">
      <c r="B1708" s="3"/>
    </row>
    <row r="1709" spans="2:2">
      <c r="B1709" s="3"/>
    </row>
    <row r="1710" spans="2:2">
      <c r="B1710" s="3"/>
    </row>
    <row r="1711" spans="2:2">
      <c r="B1711" s="3"/>
    </row>
    <row r="1712" spans="2:2">
      <c r="B1712" s="3"/>
    </row>
    <row r="1713" spans="2:2">
      <c r="B1713" s="3"/>
    </row>
    <row r="1714" spans="2:2">
      <c r="B1714" s="3"/>
    </row>
    <row r="1715" spans="2:2">
      <c r="B1715" s="3"/>
    </row>
    <row r="1716" spans="2:2">
      <c r="B1716" s="3"/>
    </row>
    <row r="1717" spans="2:2">
      <c r="B1717" s="3"/>
    </row>
    <row r="1718" spans="2:2">
      <c r="B1718" s="3"/>
    </row>
    <row r="1719" spans="2:2">
      <c r="B1719" s="3"/>
    </row>
    <row r="1720" spans="2:2">
      <c r="B1720" s="3"/>
    </row>
    <row r="1721" spans="2:2">
      <c r="B1721" s="3"/>
    </row>
    <row r="1722" spans="2:2">
      <c r="B1722" s="3"/>
    </row>
    <row r="1723" spans="2:2">
      <c r="B1723" s="3"/>
    </row>
    <row r="1724" spans="2:2">
      <c r="B1724" s="3"/>
    </row>
    <row r="1725" spans="2:2">
      <c r="B1725" s="3"/>
    </row>
    <row r="1726" spans="2:2">
      <c r="B1726" s="3"/>
    </row>
    <row r="1727" spans="2:2">
      <c r="B1727" s="3"/>
    </row>
    <row r="1728" spans="2:2">
      <c r="B1728" s="3"/>
    </row>
    <row r="1729" spans="2:2">
      <c r="B1729" s="3"/>
    </row>
    <row r="1730" spans="2:2">
      <c r="B1730" s="3"/>
    </row>
    <row r="1731" spans="2:2">
      <c r="B1731" s="3"/>
    </row>
    <row r="1732" spans="2:2">
      <c r="B1732" s="3"/>
    </row>
    <row r="1733" spans="2:2">
      <c r="B1733" s="3"/>
    </row>
    <row r="1734" spans="2:2">
      <c r="B1734" s="3"/>
    </row>
    <row r="1735" spans="2:2">
      <c r="B1735" s="3"/>
    </row>
    <row r="1736" spans="2:2">
      <c r="B1736" s="3"/>
    </row>
    <row r="1737" spans="2:2">
      <c r="B1737" s="3"/>
    </row>
    <row r="1738" spans="2:2">
      <c r="B1738" s="3"/>
    </row>
    <row r="1739" spans="2:2">
      <c r="B1739" s="3"/>
    </row>
    <row r="1740" spans="2:2">
      <c r="B1740" s="3"/>
    </row>
    <row r="1741" spans="2:2">
      <c r="B1741" s="3"/>
    </row>
    <row r="1742" spans="2:2">
      <c r="B1742" s="3"/>
    </row>
    <row r="1743" spans="2:2">
      <c r="B1743" s="3"/>
    </row>
    <row r="1744" spans="2:2">
      <c r="B1744" s="3"/>
    </row>
    <row r="1745" spans="2:2">
      <c r="B1745" s="3"/>
    </row>
    <row r="1746" spans="2:2">
      <c r="B1746" s="3"/>
    </row>
    <row r="1747" spans="2:2">
      <c r="B1747" s="3"/>
    </row>
    <row r="1748" spans="2:2">
      <c r="B1748" s="3"/>
    </row>
    <row r="1749" spans="2:2">
      <c r="B1749" s="3"/>
    </row>
    <row r="1750" spans="2:2">
      <c r="B1750" s="3"/>
    </row>
    <row r="1751" spans="2:2">
      <c r="B1751" s="3"/>
    </row>
    <row r="1752" spans="2:2">
      <c r="B1752" s="3"/>
    </row>
    <row r="1753" spans="2:2">
      <c r="B1753" s="3"/>
    </row>
    <row r="1754" spans="2:2">
      <c r="B1754" s="3"/>
    </row>
    <row r="1755" spans="2:2">
      <c r="B1755" s="3"/>
    </row>
    <row r="1756" spans="2:2">
      <c r="B1756" s="3"/>
    </row>
    <row r="1757" spans="2:2">
      <c r="B1757" s="3"/>
    </row>
    <row r="1758" spans="2:2">
      <c r="B1758" s="3"/>
    </row>
    <row r="1759" spans="2:2">
      <c r="B1759" s="3"/>
    </row>
    <row r="1760" spans="2:2">
      <c r="B1760" s="3"/>
    </row>
    <row r="1761" spans="2:2">
      <c r="B1761" s="3"/>
    </row>
    <row r="1762" spans="2:2">
      <c r="B1762" s="3"/>
    </row>
    <row r="1763" spans="2:2">
      <c r="B1763" s="3"/>
    </row>
    <row r="1764" spans="2:2">
      <c r="B1764" s="3"/>
    </row>
    <row r="1765" spans="2:2">
      <c r="B1765" s="3"/>
    </row>
    <row r="1766" spans="2:2">
      <c r="B1766" s="3"/>
    </row>
    <row r="1767" spans="2:2">
      <c r="B1767" s="3"/>
    </row>
    <row r="1768" spans="2:2">
      <c r="B1768" s="3"/>
    </row>
    <row r="1769" spans="2:2">
      <c r="B1769" s="3"/>
    </row>
    <row r="1770" spans="2:2">
      <c r="B1770" s="3"/>
    </row>
    <row r="1771" spans="2:2">
      <c r="B1771" s="3"/>
    </row>
    <row r="1772" spans="2:2">
      <c r="B1772" s="3"/>
    </row>
    <row r="1773" spans="2:2">
      <c r="B1773" s="3"/>
    </row>
    <row r="1774" spans="2:2">
      <c r="B1774" s="3"/>
    </row>
    <row r="1775" spans="2:2">
      <c r="B1775" s="3"/>
    </row>
    <row r="1776" spans="2:2">
      <c r="B1776" s="3"/>
    </row>
    <row r="1777" spans="2:2">
      <c r="B1777" s="3"/>
    </row>
    <row r="1778" spans="2:2">
      <c r="B1778" s="3"/>
    </row>
    <row r="1779" spans="2:2">
      <c r="B1779" s="3"/>
    </row>
    <row r="1780" spans="2:2">
      <c r="B1780" s="3"/>
    </row>
    <row r="1781" spans="2:2">
      <c r="B1781" s="3"/>
    </row>
    <row r="1782" spans="2:2">
      <c r="B1782" s="3"/>
    </row>
    <row r="1783" spans="2:2">
      <c r="B1783" s="3"/>
    </row>
    <row r="1784" spans="2:2">
      <c r="B1784" s="3"/>
    </row>
    <row r="1785" spans="2:2">
      <c r="B1785" s="3"/>
    </row>
    <row r="1786" spans="2:2">
      <c r="B1786" s="3"/>
    </row>
    <row r="1787" spans="2:2">
      <c r="B1787" s="3"/>
    </row>
    <row r="1788" spans="2:2">
      <c r="B1788" s="3"/>
    </row>
    <row r="1789" spans="2:2">
      <c r="B1789" s="3"/>
    </row>
    <row r="1790" spans="2:2">
      <c r="B1790" s="3"/>
    </row>
    <row r="1791" spans="2:2">
      <c r="B1791" s="3"/>
    </row>
    <row r="1792" spans="2:2">
      <c r="B1792" s="3"/>
    </row>
    <row r="1793" spans="2:2">
      <c r="B1793" s="3"/>
    </row>
    <row r="1794" spans="2:2">
      <c r="B1794" s="3"/>
    </row>
    <row r="1795" spans="2:2">
      <c r="B1795" s="3"/>
    </row>
    <row r="1796" spans="2:2">
      <c r="B1796" s="3"/>
    </row>
    <row r="1797" spans="2:2">
      <c r="B1797" s="3"/>
    </row>
    <row r="1798" spans="2:2">
      <c r="B1798" s="3"/>
    </row>
    <row r="1799" spans="2:2">
      <c r="B1799" s="3"/>
    </row>
    <row r="1800" spans="2:2">
      <c r="B1800" s="3"/>
    </row>
    <row r="1801" spans="2:2">
      <c r="B1801" s="3"/>
    </row>
    <row r="1802" spans="2:2">
      <c r="B1802" s="3"/>
    </row>
    <row r="1803" spans="2:2">
      <c r="B1803" s="3"/>
    </row>
    <row r="1804" spans="2:2">
      <c r="B1804" s="3"/>
    </row>
    <row r="1805" spans="2:2">
      <c r="B1805" s="3"/>
    </row>
    <row r="1806" spans="2:2">
      <c r="B1806" s="3"/>
    </row>
    <row r="1807" spans="2:2">
      <c r="B1807" s="3"/>
    </row>
    <row r="1808" spans="2:2">
      <c r="B1808" s="3"/>
    </row>
    <row r="1809" spans="2:2">
      <c r="B1809" s="3"/>
    </row>
    <row r="1810" spans="2:2">
      <c r="B1810" s="3"/>
    </row>
    <row r="1811" spans="2:2">
      <c r="B1811" s="3"/>
    </row>
    <row r="1812" spans="2:2">
      <c r="B1812" s="3"/>
    </row>
    <row r="1813" spans="2:2">
      <c r="B1813" s="3"/>
    </row>
    <row r="1814" spans="2:2">
      <c r="B1814" s="3"/>
    </row>
    <row r="1815" spans="2:2">
      <c r="B1815" s="3"/>
    </row>
    <row r="1816" spans="2:2">
      <c r="B1816" s="3"/>
    </row>
    <row r="1817" spans="2:2">
      <c r="B1817" s="3"/>
    </row>
    <row r="1818" spans="2:2">
      <c r="B1818" s="3"/>
    </row>
    <row r="1819" spans="2:2">
      <c r="B1819" s="3"/>
    </row>
    <row r="1820" spans="2:2">
      <c r="B1820" s="3"/>
    </row>
    <row r="1821" spans="2:2">
      <c r="B1821" s="3"/>
    </row>
    <row r="1822" spans="2:2">
      <c r="B1822" s="3"/>
    </row>
    <row r="1823" spans="2:2">
      <c r="B1823" s="3"/>
    </row>
    <row r="1824" spans="2:2">
      <c r="B1824" s="3"/>
    </row>
    <row r="1825" spans="2:2">
      <c r="B1825" s="3"/>
    </row>
    <row r="1826" spans="2:2">
      <c r="B1826" s="3"/>
    </row>
    <row r="1827" spans="2:2">
      <c r="B1827" s="3"/>
    </row>
    <row r="1828" spans="2:2">
      <c r="B1828" s="3"/>
    </row>
    <row r="1829" spans="2:2">
      <c r="B1829" s="3"/>
    </row>
    <row r="1830" spans="2:2">
      <c r="B1830" s="3"/>
    </row>
    <row r="1831" spans="2:2">
      <c r="B1831" s="3"/>
    </row>
    <row r="1832" spans="2:2">
      <c r="B1832" s="3"/>
    </row>
    <row r="1833" spans="2:2">
      <c r="B1833" s="3"/>
    </row>
    <row r="1834" spans="2:2">
      <c r="B1834" s="3"/>
    </row>
    <row r="1835" spans="2:2">
      <c r="B1835" s="3"/>
    </row>
    <row r="1836" spans="2:2">
      <c r="B1836" s="3"/>
    </row>
    <row r="1837" spans="2:2">
      <c r="B1837" s="3"/>
    </row>
    <row r="1838" spans="2:2">
      <c r="B1838" s="3"/>
    </row>
    <row r="1839" spans="2:2">
      <c r="B1839" s="3"/>
    </row>
    <row r="1840" spans="2:2">
      <c r="B1840" s="3"/>
    </row>
    <row r="1841" spans="2:2">
      <c r="B1841" s="3"/>
    </row>
    <row r="1842" spans="2:2">
      <c r="B1842" s="3"/>
    </row>
    <row r="1843" spans="2:2">
      <c r="B1843" s="3"/>
    </row>
    <row r="1844" spans="2:2">
      <c r="B1844" s="3"/>
    </row>
    <row r="1845" spans="2:2">
      <c r="B1845" s="3"/>
    </row>
    <row r="1846" spans="2:2">
      <c r="B1846" s="3"/>
    </row>
    <row r="1847" spans="2:2">
      <c r="B1847" s="3"/>
    </row>
    <row r="1848" spans="2:2">
      <c r="B1848" s="3"/>
    </row>
    <row r="1849" spans="2:2">
      <c r="B1849" s="3"/>
    </row>
    <row r="1850" spans="2:2">
      <c r="B1850" s="3"/>
    </row>
    <row r="1851" spans="2:2">
      <c r="B1851" s="3"/>
    </row>
    <row r="1852" spans="2:2">
      <c r="B1852" s="3"/>
    </row>
    <row r="1853" spans="2:2">
      <c r="B1853" s="3"/>
    </row>
    <row r="1854" spans="2:2">
      <c r="B1854" s="3"/>
    </row>
    <row r="1855" spans="2:2">
      <c r="B1855" s="3"/>
    </row>
    <row r="1856" spans="2:2">
      <c r="B1856" s="3"/>
    </row>
    <row r="1857" spans="2:2">
      <c r="B1857" s="3"/>
    </row>
    <row r="1858" spans="2:2">
      <c r="B1858" s="3"/>
    </row>
    <row r="1859" spans="2:2">
      <c r="B1859" s="3"/>
    </row>
    <row r="1860" spans="2:2">
      <c r="B1860" s="3"/>
    </row>
    <row r="1861" spans="2:2">
      <c r="B1861" s="3"/>
    </row>
    <row r="1862" spans="2:2">
      <c r="B1862" s="3"/>
    </row>
    <row r="1863" spans="2:2">
      <c r="B1863" s="3"/>
    </row>
    <row r="1864" spans="2:2">
      <c r="B1864" s="3"/>
    </row>
    <row r="1865" spans="2:2">
      <c r="B1865" s="3"/>
    </row>
    <row r="1866" spans="2:2">
      <c r="B1866" s="3"/>
    </row>
    <row r="1867" spans="2:2">
      <c r="B1867" s="3"/>
    </row>
    <row r="1868" spans="2:2">
      <c r="B1868" s="3"/>
    </row>
    <row r="1869" spans="2:2">
      <c r="B1869" s="3"/>
    </row>
    <row r="1870" spans="2:2">
      <c r="B1870" s="3"/>
    </row>
    <row r="1871" spans="2:2">
      <c r="B1871" s="3"/>
    </row>
    <row r="1872" spans="2:2">
      <c r="B1872" s="3"/>
    </row>
    <row r="1873" spans="2:2">
      <c r="B1873" s="3"/>
    </row>
    <row r="1874" spans="2:2">
      <c r="B1874" s="3"/>
    </row>
    <row r="1875" spans="2:2">
      <c r="B1875" s="3"/>
    </row>
    <row r="1876" spans="2:2">
      <c r="B1876" s="3"/>
    </row>
    <row r="1877" spans="2:2">
      <c r="B1877" s="3"/>
    </row>
    <row r="1878" spans="2:2">
      <c r="B1878" s="3"/>
    </row>
    <row r="1879" spans="2:2">
      <c r="B1879" s="3"/>
    </row>
    <row r="1880" spans="2:2">
      <c r="B1880" s="3"/>
    </row>
    <row r="1881" spans="2:2">
      <c r="B1881" s="3"/>
    </row>
    <row r="1882" spans="2:2">
      <c r="B1882" s="3"/>
    </row>
    <row r="1883" spans="2:2">
      <c r="B1883" s="3"/>
    </row>
    <row r="1884" spans="2:2">
      <c r="B1884" s="3"/>
    </row>
    <row r="1885" spans="2:2">
      <c r="B1885" s="3"/>
    </row>
    <row r="1886" spans="2:2">
      <c r="B1886" s="3"/>
    </row>
    <row r="1887" spans="2:2">
      <c r="B1887" s="3"/>
    </row>
    <row r="1888" spans="2:2">
      <c r="B1888" s="3"/>
    </row>
    <row r="1889" spans="2:2">
      <c r="B1889" s="3"/>
    </row>
    <row r="1890" spans="2:2">
      <c r="B1890" s="3"/>
    </row>
    <row r="1891" spans="2:2">
      <c r="B1891" s="3"/>
    </row>
    <row r="1892" spans="2:2">
      <c r="B1892" s="3"/>
    </row>
    <row r="1893" spans="2:2">
      <c r="B1893" s="3"/>
    </row>
    <row r="1894" spans="2:2">
      <c r="B1894" s="3"/>
    </row>
    <row r="1895" spans="2:2">
      <c r="B1895" s="3"/>
    </row>
    <row r="1896" spans="2:2">
      <c r="B1896" s="3"/>
    </row>
    <row r="1897" spans="2:2">
      <c r="B1897" s="3"/>
    </row>
    <row r="1898" spans="2:2">
      <c r="B1898" s="3"/>
    </row>
    <row r="1899" spans="2:2">
      <c r="B1899" s="3"/>
    </row>
    <row r="1900" spans="2:2">
      <c r="B1900" s="3"/>
    </row>
    <row r="1901" spans="2:2">
      <c r="B1901" s="3"/>
    </row>
    <row r="1902" spans="2:2">
      <c r="B1902" s="3"/>
    </row>
    <row r="1903" spans="2:2">
      <c r="B1903" s="3"/>
    </row>
    <row r="1904" spans="2:2">
      <c r="B1904" s="3"/>
    </row>
    <row r="1905" spans="2:2">
      <c r="B1905" s="3"/>
    </row>
    <row r="1906" spans="2:2">
      <c r="B1906" s="3"/>
    </row>
    <row r="1907" spans="2:2">
      <c r="B1907" s="3"/>
    </row>
    <row r="1908" spans="2:2">
      <c r="B1908" s="3"/>
    </row>
    <row r="1909" spans="2:2">
      <c r="B1909" s="3"/>
    </row>
    <row r="1910" spans="2:2">
      <c r="B1910" s="3"/>
    </row>
    <row r="1911" spans="2:2">
      <c r="B1911" s="3"/>
    </row>
    <row r="1912" spans="2:2">
      <c r="B1912" s="3"/>
    </row>
    <row r="1913" spans="2:2">
      <c r="B1913" s="3"/>
    </row>
    <row r="1914" spans="2:2">
      <c r="B1914" s="3"/>
    </row>
    <row r="1915" spans="2:2">
      <c r="B1915" s="3"/>
    </row>
    <row r="1916" spans="2:2">
      <c r="B1916" s="3"/>
    </row>
    <row r="1917" spans="2:2">
      <c r="B1917" s="3"/>
    </row>
    <row r="1918" spans="2:2">
      <c r="B1918" s="3"/>
    </row>
    <row r="1919" spans="2:2">
      <c r="B1919" s="3"/>
    </row>
    <row r="1920" spans="2:2">
      <c r="B1920" s="3"/>
    </row>
    <row r="1921" spans="2:2">
      <c r="B1921" s="3"/>
    </row>
    <row r="1922" spans="2:2">
      <c r="B1922" s="3"/>
    </row>
    <row r="1923" spans="2:2">
      <c r="B1923" s="3"/>
    </row>
    <row r="1924" spans="2:2">
      <c r="B1924" s="3"/>
    </row>
    <row r="1925" spans="2:2">
      <c r="B1925" s="3"/>
    </row>
    <row r="1926" spans="2:2">
      <c r="B1926" s="3"/>
    </row>
    <row r="1927" spans="2:2">
      <c r="B1927" s="3"/>
    </row>
    <row r="1928" spans="2:2">
      <c r="B1928" s="3"/>
    </row>
    <row r="1929" spans="2:2">
      <c r="B1929" s="3"/>
    </row>
    <row r="1930" spans="2:2">
      <c r="B1930" s="3"/>
    </row>
    <row r="1931" spans="2:2">
      <c r="B1931" s="3"/>
    </row>
    <row r="1932" spans="2:2">
      <c r="B1932" s="3"/>
    </row>
    <row r="1933" spans="2:2">
      <c r="B1933" s="3"/>
    </row>
    <row r="1934" spans="2:2">
      <c r="B1934" s="3"/>
    </row>
    <row r="1935" spans="2:2">
      <c r="B1935" s="3"/>
    </row>
    <row r="1936" spans="2:2">
      <c r="B1936" s="3"/>
    </row>
    <row r="1937" spans="2:2">
      <c r="B1937" s="3"/>
    </row>
    <row r="1938" spans="2:2">
      <c r="B1938" s="3"/>
    </row>
    <row r="1939" spans="2:2">
      <c r="B1939" s="3"/>
    </row>
    <row r="1940" spans="2:2">
      <c r="B1940" s="3"/>
    </row>
    <row r="1941" spans="2:2">
      <c r="B1941" s="3"/>
    </row>
    <row r="1942" spans="2:2">
      <c r="B1942" s="3"/>
    </row>
    <row r="1943" spans="2:2">
      <c r="B1943" s="3"/>
    </row>
    <row r="1944" spans="2:2">
      <c r="B1944" s="3"/>
    </row>
    <row r="1945" spans="2:2">
      <c r="B1945" s="3"/>
    </row>
    <row r="1946" spans="2:2">
      <c r="B1946" s="3"/>
    </row>
    <row r="1947" spans="2:2">
      <c r="B1947" s="3"/>
    </row>
    <row r="1948" spans="2:2">
      <c r="B1948" s="3"/>
    </row>
    <row r="1949" spans="2:2">
      <c r="B1949" s="3"/>
    </row>
    <row r="1950" spans="2:2">
      <c r="B1950" s="3"/>
    </row>
    <row r="1951" spans="2:2">
      <c r="B1951" s="3"/>
    </row>
    <row r="1952" spans="2:2">
      <c r="B1952" s="3"/>
    </row>
    <row r="1953" spans="2:2">
      <c r="B1953" s="3"/>
    </row>
    <row r="1954" spans="2:2">
      <c r="B1954" s="3"/>
    </row>
    <row r="1955" spans="2:2">
      <c r="B1955" s="3"/>
    </row>
    <row r="1956" spans="2:2">
      <c r="B1956" s="3"/>
    </row>
    <row r="1957" spans="2:2">
      <c r="B1957" s="3"/>
    </row>
    <row r="1958" spans="2:2">
      <c r="B1958" s="3"/>
    </row>
    <row r="1959" spans="2:2">
      <c r="B1959" s="3"/>
    </row>
    <row r="1960" spans="2:2">
      <c r="B1960" s="3"/>
    </row>
    <row r="1961" spans="2:2">
      <c r="B1961" s="3"/>
    </row>
    <row r="1962" spans="2:2">
      <c r="B1962" s="3"/>
    </row>
    <row r="1963" spans="2:2">
      <c r="B1963" s="3"/>
    </row>
    <row r="1964" spans="2:2">
      <c r="B1964" s="3"/>
    </row>
    <row r="1965" spans="2:2">
      <c r="B1965" s="3"/>
    </row>
    <row r="1966" spans="2:2">
      <c r="B1966" s="3"/>
    </row>
    <row r="1967" spans="2:2">
      <c r="B1967" s="3"/>
    </row>
    <row r="1968" spans="2:2">
      <c r="B1968" s="3"/>
    </row>
    <row r="1969" spans="2:2">
      <c r="B1969" s="3"/>
    </row>
    <row r="1970" spans="2:2">
      <c r="B1970" s="3"/>
    </row>
    <row r="1971" spans="2:2">
      <c r="B1971" s="3"/>
    </row>
    <row r="1972" spans="2:2">
      <c r="B1972" s="3"/>
    </row>
    <row r="1973" spans="2:2">
      <c r="B1973" s="3"/>
    </row>
    <row r="1974" spans="2:2">
      <c r="B1974" s="3"/>
    </row>
    <row r="1975" spans="2:2">
      <c r="B1975" s="3"/>
    </row>
    <row r="1976" spans="2:2">
      <c r="B1976" s="3"/>
    </row>
    <row r="1977" spans="2:2">
      <c r="B1977" s="3"/>
    </row>
    <row r="1978" spans="2:2">
      <c r="B1978" s="3"/>
    </row>
    <row r="1979" spans="2:2">
      <c r="B1979" s="3"/>
    </row>
    <row r="1980" spans="2:2">
      <c r="B1980" s="3"/>
    </row>
    <row r="1981" spans="2:2">
      <c r="B1981" s="3"/>
    </row>
    <row r="1982" spans="2:2">
      <c r="B1982" s="3"/>
    </row>
    <row r="1983" spans="2:2">
      <c r="B1983" s="3"/>
    </row>
    <row r="1984" spans="2:2">
      <c r="B1984" s="3"/>
    </row>
    <row r="1985" spans="2:2">
      <c r="B1985" s="3"/>
    </row>
    <row r="1986" spans="2:2">
      <c r="B1986" s="3"/>
    </row>
    <row r="1987" spans="2:2">
      <c r="B1987" s="3"/>
    </row>
    <row r="1988" spans="2:2">
      <c r="B1988" s="3"/>
    </row>
    <row r="1989" spans="2:2">
      <c r="B1989" s="3"/>
    </row>
    <row r="1990" spans="2:2">
      <c r="B1990" s="3"/>
    </row>
    <row r="1991" spans="2:2">
      <c r="B1991" s="3"/>
    </row>
    <row r="1992" spans="2:2">
      <c r="B1992" s="3"/>
    </row>
    <row r="1993" spans="2:2">
      <c r="B1993" s="3"/>
    </row>
    <row r="1994" spans="2:2">
      <c r="B1994" s="3"/>
    </row>
    <row r="1995" spans="2:2">
      <c r="B1995" s="3"/>
    </row>
    <row r="1996" spans="2:2">
      <c r="B1996" s="3"/>
    </row>
    <row r="1997" spans="2:2">
      <c r="B1997" s="3"/>
    </row>
    <row r="1998" spans="2:2">
      <c r="B1998" s="3"/>
    </row>
    <row r="1999" spans="2:2">
      <c r="B1999" s="3"/>
    </row>
    <row r="2000" spans="2:2">
      <c r="B2000" s="3"/>
    </row>
    <row r="2001" spans="2:2">
      <c r="B2001" s="3"/>
    </row>
    <row r="2002" spans="2:2">
      <c r="B2002" s="3"/>
    </row>
    <row r="2003" spans="2:2">
      <c r="B2003" s="3"/>
    </row>
    <row r="2004" spans="2:2">
      <c r="B2004" s="3"/>
    </row>
    <row r="2005" spans="2:2">
      <c r="B2005" s="3"/>
    </row>
    <row r="2006" spans="2:2">
      <c r="B2006" s="3"/>
    </row>
    <row r="2007" spans="2:2">
      <c r="B2007" s="3"/>
    </row>
    <row r="2008" spans="2:2">
      <c r="B2008" s="3"/>
    </row>
    <row r="2009" spans="2:2">
      <c r="B2009" s="3"/>
    </row>
    <row r="2010" spans="2:2">
      <c r="B2010" s="3"/>
    </row>
    <row r="2011" spans="2:2">
      <c r="B2011" s="3"/>
    </row>
    <row r="2012" spans="2:2">
      <c r="B2012" s="3"/>
    </row>
    <row r="2013" spans="2:2">
      <c r="B2013" s="3"/>
    </row>
    <row r="2014" spans="2:2">
      <c r="B2014" s="3"/>
    </row>
    <row r="2015" spans="2:2">
      <c r="B2015" s="3"/>
    </row>
    <row r="2016" spans="2:2">
      <c r="B2016" s="3"/>
    </row>
    <row r="2017" spans="2:2">
      <c r="B2017" s="3"/>
    </row>
    <row r="2018" spans="2:2">
      <c r="B2018" s="3"/>
    </row>
    <row r="2019" spans="2:2">
      <c r="B2019" s="3"/>
    </row>
    <row r="2020" spans="2:2">
      <c r="B2020" s="3"/>
    </row>
    <row r="2021" spans="2:2">
      <c r="B2021" s="3"/>
    </row>
    <row r="2022" spans="2:2">
      <c r="B2022" s="3"/>
    </row>
    <row r="2023" spans="2:2">
      <c r="B2023" s="3"/>
    </row>
    <row r="2024" spans="2:2">
      <c r="B2024" s="3"/>
    </row>
    <row r="2025" spans="2:2">
      <c r="B2025" s="3"/>
    </row>
    <row r="2026" spans="2:2">
      <c r="B2026" s="3"/>
    </row>
    <row r="2027" spans="2:2">
      <c r="B2027" s="3"/>
    </row>
    <row r="2028" spans="2:2">
      <c r="B2028" s="3"/>
    </row>
    <row r="2029" spans="2:2">
      <c r="B2029" s="3"/>
    </row>
    <row r="2030" spans="2:2">
      <c r="B2030" s="3"/>
    </row>
    <row r="2031" spans="2:2">
      <c r="B2031" s="3"/>
    </row>
    <row r="2032" spans="2:2">
      <c r="B2032" s="3"/>
    </row>
    <row r="2033" spans="2:2">
      <c r="B2033" s="3"/>
    </row>
    <row r="2034" spans="2:2">
      <c r="B2034" s="3"/>
    </row>
    <row r="2035" spans="2:2">
      <c r="B2035" s="3"/>
    </row>
    <row r="2036" spans="2:2">
      <c r="B2036" s="3"/>
    </row>
    <row r="2037" spans="2:2">
      <c r="B2037" s="3"/>
    </row>
    <row r="2038" spans="2:2">
      <c r="B2038" s="3"/>
    </row>
    <row r="2039" spans="2:2">
      <c r="B2039" s="3"/>
    </row>
    <row r="2040" spans="2:2">
      <c r="B2040" s="3"/>
    </row>
    <row r="2041" spans="2:2">
      <c r="B2041" s="3"/>
    </row>
    <row r="2042" spans="2:2">
      <c r="B2042" s="3"/>
    </row>
    <row r="2043" spans="2:2">
      <c r="B2043" s="3"/>
    </row>
    <row r="2044" spans="2:2">
      <c r="B2044" s="3"/>
    </row>
    <row r="2045" spans="2:2">
      <c r="B2045" s="3"/>
    </row>
    <row r="2046" spans="2:2">
      <c r="B2046" s="3"/>
    </row>
    <row r="2047" spans="2:2">
      <c r="B2047" s="3"/>
    </row>
    <row r="2048" spans="2:2">
      <c r="B2048" s="3"/>
    </row>
    <row r="2049" spans="2:2">
      <c r="B2049" s="3"/>
    </row>
    <row r="2050" spans="2:2">
      <c r="B2050" s="3"/>
    </row>
    <row r="2051" spans="2:2">
      <c r="B2051" s="3"/>
    </row>
    <row r="2052" spans="2:2">
      <c r="B2052" s="3"/>
    </row>
    <row r="2053" spans="2:2">
      <c r="B2053" s="3"/>
    </row>
    <row r="2054" spans="2:2">
      <c r="B2054" s="3"/>
    </row>
    <row r="2055" spans="2:2">
      <c r="B2055" s="3"/>
    </row>
    <row r="2056" spans="2:2">
      <c r="B2056" s="3"/>
    </row>
    <row r="2057" spans="2:2">
      <c r="B2057" s="3"/>
    </row>
    <row r="2058" spans="2:2">
      <c r="B2058" s="3"/>
    </row>
    <row r="2059" spans="2:2">
      <c r="B2059" s="3"/>
    </row>
    <row r="2060" spans="2:2">
      <c r="B2060" s="3"/>
    </row>
    <row r="2061" spans="2:2">
      <c r="B2061" s="3"/>
    </row>
    <row r="2062" spans="2:2">
      <c r="B2062" s="3"/>
    </row>
    <row r="2063" spans="2:2">
      <c r="B2063" s="3"/>
    </row>
    <row r="2064" spans="2:2">
      <c r="B2064" s="3"/>
    </row>
    <row r="2065" spans="2:2">
      <c r="B2065" s="3"/>
    </row>
    <row r="2066" spans="2:2">
      <c r="B2066" s="3"/>
    </row>
    <row r="2067" spans="2:2">
      <c r="B2067" s="3"/>
    </row>
    <row r="2068" spans="2:2">
      <c r="B2068" s="3"/>
    </row>
    <row r="2069" spans="2:2">
      <c r="B2069" s="3"/>
    </row>
    <row r="2070" spans="2:2">
      <c r="B2070" s="3"/>
    </row>
    <row r="2071" spans="2:2">
      <c r="B2071" s="3"/>
    </row>
    <row r="2072" spans="2:2">
      <c r="B2072" s="3"/>
    </row>
    <row r="2073" spans="2:2">
      <c r="B2073" s="3"/>
    </row>
    <row r="2074" spans="2:2">
      <c r="B2074" s="3"/>
    </row>
    <row r="2075" spans="2:2">
      <c r="B2075" s="3"/>
    </row>
    <row r="2076" spans="2:2">
      <c r="B2076" s="3"/>
    </row>
    <row r="2077" spans="2:2">
      <c r="B2077" s="3"/>
    </row>
    <row r="2078" spans="2:2">
      <c r="B2078" s="3"/>
    </row>
    <row r="2079" spans="2:2">
      <c r="B2079" s="3"/>
    </row>
    <row r="2080" spans="2:2">
      <c r="B2080" s="3"/>
    </row>
    <row r="2081" spans="2:2">
      <c r="B2081" s="3"/>
    </row>
    <row r="2082" spans="2:2">
      <c r="B2082" s="3"/>
    </row>
    <row r="2083" spans="2:2">
      <c r="B2083" s="3"/>
    </row>
    <row r="2084" spans="2:2">
      <c r="B2084" s="3"/>
    </row>
    <row r="2085" spans="2:2">
      <c r="B2085" s="3"/>
    </row>
    <row r="2086" spans="2:2">
      <c r="B2086" s="3"/>
    </row>
    <row r="2087" spans="2:2">
      <c r="B2087" s="3"/>
    </row>
    <row r="2088" spans="2:2">
      <c r="B2088" s="3"/>
    </row>
    <row r="2089" spans="2:2">
      <c r="B2089" s="3"/>
    </row>
    <row r="2090" spans="2:2">
      <c r="B2090" s="3"/>
    </row>
    <row r="2091" spans="2:2">
      <c r="B2091" s="3"/>
    </row>
    <row r="2092" spans="2:2">
      <c r="B2092" s="3"/>
    </row>
    <row r="2093" spans="2:2">
      <c r="B2093" s="3"/>
    </row>
    <row r="2094" spans="2:2">
      <c r="B2094" s="3"/>
    </row>
    <row r="2095" spans="2:2">
      <c r="B2095" s="3"/>
    </row>
    <row r="2096" spans="2:2">
      <c r="B2096" s="3"/>
    </row>
    <row r="2097" spans="2:2">
      <c r="B2097" s="3"/>
    </row>
    <row r="2098" spans="2:2">
      <c r="B2098" s="3"/>
    </row>
    <row r="2099" spans="2:2">
      <c r="B2099" s="3"/>
    </row>
    <row r="2100" spans="2:2">
      <c r="B2100" s="3"/>
    </row>
    <row r="2101" spans="2:2">
      <c r="B2101" s="3"/>
    </row>
    <row r="2102" spans="2:2">
      <c r="B2102" s="3"/>
    </row>
    <row r="2103" spans="2:2">
      <c r="B2103" s="3"/>
    </row>
    <row r="2104" spans="2:2">
      <c r="B2104" s="3"/>
    </row>
    <row r="2105" spans="2:2">
      <c r="B2105" s="3"/>
    </row>
    <row r="2106" spans="2:2">
      <c r="B2106" s="3"/>
    </row>
    <row r="2107" spans="2:2">
      <c r="B2107" s="3"/>
    </row>
    <row r="2108" spans="2:2">
      <c r="B2108" s="3"/>
    </row>
    <row r="2109" spans="2:2">
      <c r="B2109" s="3"/>
    </row>
    <row r="2110" spans="2:2">
      <c r="B2110" s="3"/>
    </row>
    <row r="2111" spans="2:2">
      <c r="B2111" s="3"/>
    </row>
    <row r="2112" spans="2:2">
      <c r="B2112" s="3"/>
    </row>
    <row r="2113" spans="2:2">
      <c r="B2113" s="3"/>
    </row>
    <row r="2114" spans="2:2">
      <c r="B2114" s="3"/>
    </row>
    <row r="2115" spans="2:2">
      <c r="B2115" s="3"/>
    </row>
    <row r="2116" spans="2:2">
      <c r="B2116" s="3"/>
    </row>
    <row r="2117" spans="2:2">
      <c r="B2117" s="3"/>
    </row>
    <row r="2118" spans="2:2">
      <c r="B2118" s="3"/>
    </row>
    <row r="2119" spans="2:2">
      <c r="B2119" s="3"/>
    </row>
    <row r="2120" spans="2:2">
      <c r="B2120" s="3"/>
    </row>
    <row r="2121" spans="2:2">
      <c r="B2121" s="3"/>
    </row>
    <row r="2122" spans="2:2">
      <c r="B2122" s="3"/>
    </row>
    <row r="2123" spans="2:2">
      <c r="B2123" s="3"/>
    </row>
    <row r="2124" spans="2:2">
      <c r="B2124" s="3"/>
    </row>
    <row r="2125" spans="2:2">
      <c r="B2125" s="3"/>
    </row>
    <row r="2126" spans="2:2">
      <c r="B2126" s="3"/>
    </row>
    <row r="2127" spans="2:2">
      <c r="B2127" s="3"/>
    </row>
    <row r="2128" spans="2:2">
      <c r="B2128" s="3"/>
    </row>
    <row r="2129" spans="2:2">
      <c r="B2129" s="3"/>
    </row>
    <row r="2130" spans="2:2">
      <c r="B2130" s="3"/>
    </row>
    <row r="2131" spans="2:2">
      <c r="B2131" s="3"/>
    </row>
    <row r="2132" spans="2:2">
      <c r="B2132" s="3"/>
    </row>
    <row r="2133" spans="2:2">
      <c r="B2133" s="3"/>
    </row>
    <row r="2134" spans="2:2">
      <c r="B2134" s="3"/>
    </row>
    <row r="2135" spans="2:2">
      <c r="B2135" s="3"/>
    </row>
    <row r="2136" spans="2:2">
      <c r="B2136" s="3"/>
    </row>
    <row r="2137" spans="2:2">
      <c r="B2137" s="3"/>
    </row>
    <row r="2138" spans="2:2">
      <c r="B2138" s="3"/>
    </row>
    <row r="2139" spans="2:2">
      <c r="B2139" s="3"/>
    </row>
    <row r="2140" spans="2:2">
      <c r="B2140" s="3"/>
    </row>
    <row r="2141" spans="2:2">
      <c r="B2141" s="3"/>
    </row>
    <row r="2142" spans="2:2">
      <c r="B2142" s="3"/>
    </row>
    <row r="2143" spans="2:2">
      <c r="B2143" s="3"/>
    </row>
    <row r="2144" spans="2:2">
      <c r="B2144" s="3"/>
    </row>
    <row r="2145" spans="2:2">
      <c r="B2145" s="3"/>
    </row>
    <row r="2146" spans="2:2">
      <c r="B2146" s="3"/>
    </row>
    <row r="2147" spans="2:2">
      <c r="B2147" s="3"/>
    </row>
    <row r="2148" spans="2:2">
      <c r="B2148" s="3"/>
    </row>
    <row r="2149" spans="2:2">
      <c r="B2149" s="3"/>
    </row>
    <row r="2150" spans="2:2">
      <c r="B2150" s="3"/>
    </row>
    <row r="2151" spans="2:2">
      <c r="B2151" s="3"/>
    </row>
    <row r="2152" spans="2:2">
      <c r="B2152" s="3"/>
    </row>
    <row r="2153" spans="2:2">
      <c r="B2153" s="3"/>
    </row>
    <row r="2154" spans="2:2">
      <c r="B2154" s="3"/>
    </row>
    <row r="2155" spans="2:2">
      <c r="B2155" s="3"/>
    </row>
    <row r="2156" spans="2:2">
      <c r="B2156" s="3"/>
    </row>
    <row r="2157" spans="2:2">
      <c r="B2157" s="3"/>
    </row>
    <row r="2158" spans="2:2">
      <c r="B2158" s="3"/>
    </row>
    <row r="2159" spans="2:2">
      <c r="B2159" s="3"/>
    </row>
    <row r="2160" spans="2:2">
      <c r="B2160" s="3"/>
    </row>
    <row r="2161" spans="2:2">
      <c r="B2161" s="3"/>
    </row>
    <row r="2162" spans="2:2">
      <c r="B2162" s="3"/>
    </row>
    <row r="2163" spans="2:2">
      <c r="B2163" s="3"/>
    </row>
    <row r="2164" spans="2:2">
      <c r="B2164" s="3"/>
    </row>
    <row r="2165" spans="2:2">
      <c r="B2165" s="3"/>
    </row>
    <row r="2166" spans="2:2">
      <c r="B2166" s="3"/>
    </row>
    <row r="2167" spans="2:2">
      <c r="B2167" s="3"/>
    </row>
    <row r="2168" spans="2:2">
      <c r="B2168" s="3"/>
    </row>
    <row r="2169" spans="2:2">
      <c r="B2169" s="3"/>
    </row>
    <row r="2170" spans="2:2">
      <c r="B2170" s="3"/>
    </row>
    <row r="2171" spans="2:2">
      <c r="B2171" s="3"/>
    </row>
    <row r="2172" spans="2:2">
      <c r="B2172" s="3"/>
    </row>
    <row r="2173" spans="2:2">
      <c r="B2173" s="3"/>
    </row>
    <row r="2174" spans="2:2">
      <c r="B2174" s="3"/>
    </row>
    <row r="2175" spans="2:2">
      <c r="B2175" s="3"/>
    </row>
    <row r="2176" spans="2:2">
      <c r="B2176" s="3"/>
    </row>
    <row r="2177" spans="2:2">
      <c r="B2177" s="3"/>
    </row>
    <row r="2178" spans="2:2">
      <c r="B2178" s="3"/>
    </row>
    <row r="2179" spans="2:2">
      <c r="B2179" s="3"/>
    </row>
    <row r="2180" spans="2:2">
      <c r="B2180" s="3"/>
    </row>
    <row r="2181" spans="2:2">
      <c r="B2181" s="3"/>
    </row>
    <row r="2182" spans="2:2">
      <c r="B2182" s="3"/>
    </row>
    <row r="2183" spans="2:2">
      <c r="B2183" s="3"/>
    </row>
    <row r="2184" spans="2:2">
      <c r="B2184" s="3"/>
    </row>
    <row r="2185" spans="2:2">
      <c r="B2185" s="3"/>
    </row>
    <row r="2186" spans="2:2">
      <c r="B2186" s="3"/>
    </row>
    <row r="2187" spans="2:2">
      <c r="B2187" s="3"/>
    </row>
    <row r="2188" spans="2:2">
      <c r="B2188" s="3"/>
    </row>
    <row r="2189" spans="2:2">
      <c r="B2189" s="3"/>
    </row>
    <row r="2190" spans="2:2">
      <c r="B2190" s="3"/>
    </row>
    <row r="2191" spans="2:2">
      <c r="B2191" s="3"/>
    </row>
    <row r="2192" spans="2:2">
      <c r="B2192" s="3"/>
    </row>
    <row r="2193" spans="2:2">
      <c r="B2193" s="3"/>
    </row>
    <row r="2194" spans="2:2">
      <c r="B2194" s="3"/>
    </row>
    <row r="2195" spans="2:2">
      <c r="B2195" s="3"/>
    </row>
    <row r="2196" spans="2:2">
      <c r="B2196" s="3"/>
    </row>
    <row r="2197" spans="2:2">
      <c r="B2197" s="3"/>
    </row>
    <row r="2198" spans="2:2">
      <c r="B2198" s="3"/>
    </row>
    <row r="2199" spans="2:2">
      <c r="B2199" s="3"/>
    </row>
    <row r="2200" spans="2:2">
      <c r="B2200" s="3"/>
    </row>
    <row r="2201" spans="2:2">
      <c r="B2201" s="3"/>
    </row>
    <row r="2202" spans="2:2">
      <c r="B2202" s="3"/>
    </row>
    <row r="2203" spans="2:2">
      <c r="B2203" s="3"/>
    </row>
    <row r="2204" spans="2:2">
      <c r="B2204" s="3"/>
    </row>
    <row r="2205" spans="2:2">
      <c r="B2205" s="3"/>
    </row>
    <row r="2206" spans="2:2">
      <c r="B2206" s="3"/>
    </row>
    <row r="2207" spans="2:2">
      <c r="B2207" s="3"/>
    </row>
    <row r="2208" spans="2:2">
      <c r="B2208" s="3"/>
    </row>
    <row r="2209" spans="2:2">
      <c r="B2209" s="3"/>
    </row>
    <row r="2210" spans="2:2">
      <c r="B2210" s="3"/>
    </row>
    <row r="2211" spans="2:2">
      <c r="B2211" s="3"/>
    </row>
    <row r="2212" spans="2:2">
      <c r="B2212" s="3"/>
    </row>
    <row r="2213" spans="2:2">
      <c r="B2213" s="3"/>
    </row>
    <row r="2214" spans="2:2">
      <c r="B2214" s="3"/>
    </row>
    <row r="2215" spans="2:2">
      <c r="B2215" s="3"/>
    </row>
    <row r="2216" spans="2:2">
      <c r="B2216" s="3"/>
    </row>
    <row r="2217" spans="2:2">
      <c r="B2217" s="3"/>
    </row>
    <row r="2218" spans="2:2">
      <c r="B2218" s="3"/>
    </row>
    <row r="2219" spans="2:2">
      <c r="B2219" s="3"/>
    </row>
    <row r="2220" spans="2:2">
      <c r="B2220" s="3"/>
    </row>
    <row r="2221" spans="2:2">
      <c r="B2221" s="3"/>
    </row>
    <row r="2222" spans="2:2">
      <c r="B2222" s="3"/>
    </row>
    <row r="2223" spans="2:2">
      <c r="B2223" s="3"/>
    </row>
    <row r="2224" spans="2:2">
      <c r="B2224" s="3"/>
    </row>
    <row r="2225" spans="2:2">
      <c r="B2225" s="3"/>
    </row>
    <row r="2226" spans="2:2">
      <c r="B2226" s="3"/>
    </row>
    <row r="2227" spans="2:2">
      <c r="B2227" s="3"/>
    </row>
    <row r="2228" spans="2:2">
      <c r="B2228" s="3"/>
    </row>
    <row r="2229" spans="2:2">
      <c r="B2229" s="3"/>
    </row>
    <row r="2230" spans="2:2">
      <c r="B2230" s="3"/>
    </row>
    <row r="2231" spans="2:2">
      <c r="B2231" s="3"/>
    </row>
    <row r="2232" spans="2:2">
      <c r="B2232" s="3"/>
    </row>
    <row r="2233" spans="2:2">
      <c r="B2233" s="3"/>
    </row>
    <row r="2234" spans="2:2">
      <c r="B2234" s="3"/>
    </row>
    <row r="2235" spans="2:2">
      <c r="B2235" s="3"/>
    </row>
    <row r="2236" spans="2:2">
      <c r="B2236" s="3"/>
    </row>
    <row r="2237" spans="2:2">
      <c r="B2237" s="3"/>
    </row>
    <row r="2238" spans="2:2">
      <c r="B2238" s="3"/>
    </row>
    <row r="2239" spans="2:2">
      <c r="B2239" s="3"/>
    </row>
    <row r="2240" spans="2:2">
      <c r="B2240" s="3"/>
    </row>
    <row r="2241" spans="2:2">
      <c r="B2241" s="3"/>
    </row>
    <row r="2242" spans="2:2">
      <c r="B2242" s="3"/>
    </row>
    <row r="2243" spans="2:2">
      <c r="B2243" s="3"/>
    </row>
    <row r="2244" spans="2:2">
      <c r="B2244" s="3"/>
    </row>
    <row r="2245" spans="2:2">
      <c r="B2245" s="3"/>
    </row>
    <row r="2246" spans="2:2">
      <c r="B2246" s="3"/>
    </row>
    <row r="2247" spans="2:2">
      <c r="B2247" s="3"/>
    </row>
    <row r="2248" spans="2:2">
      <c r="B2248" s="3"/>
    </row>
    <row r="2249" spans="2:2">
      <c r="B2249" s="3"/>
    </row>
    <row r="2250" spans="2:2">
      <c r="B2250" s="3"/>
    </row>
    <row r="2251" spans="2:2">
      <c r="B2251" s="3"/>
    </row>
    <row r="2252" spans="2:2">
      <c r="B2252" s="3"/>
    </row>
    <row r="2253" spans="2:2">
      <c r="B2253" s="3"/>
    </row>
    <row r="2254" spans="2:2">
      <c r="B2254" s="3"/>
    </row>
    <row r="2255" spans="2:2">
      <c r="B2255" s="3"/>
    </row>
    <row r="2256" spans="2:2">
      <c r="B2256" s="3"/>
    </row>
    <row r="2257" spans="2:2">
      <c r="B2257" s="3"/>
    </row>
    <row r="2258" spans="2:2">
      <c r="B2258" s="3"/>
    </row>
    <row r="2259" spans="2:2">
      <c r="B2259" s="3"/>
    </row>
    <row r="2260" spans="2:2">
      <c r="B2260" s="3"/>
    </row>
    <row r="2261" spans="2:2">
      <c r="B2261" s="3"/>
    </row>
    <row r="2262" spans="2:2">
      <c r="B2262" s="3"/>
    </row>
    <row r="2263" spans="2:2">
      <c r="B2263" s="3"/>
    </row>
    <row r="2264" spans="2:2">
      <c r="B2264" s="3"/>
    </row>
    <row r="2265" spans="2:2">
      <c r="B2265" s="3"/>
    </row>
    <row r="2266" spans="2:2">
      <c r="B2266" s="3"/>
    </row>
    <row r="2267" spans="2:2">
      <c r="B2267" s="3"/>
    </row>
    <row r="2268" spans="2:2">
      <c r="B2268" s="3"/>
    </row>
    <row r="2269" spans="2:2">
      <c r="B2269" s="3"/>
    </row>
    <row r="2270" spans="2:2">
      <c r="B2270" s="3"/>
    </row>
    <row r="2271" spans="2:2">
      <c r="B2271" s="3"/>
    </row>
    <row r="2272" spans="2:2">
      <c r="B2272" s="3"/>
    </row>
    <row r="2273" spans="2:2">
      <c r="B2273" s="3"/>
    </row>
    <row r="2274" spans="2:2">
      <c r="B2274" s="3"/>
    </row>
    <row r="2275" spans="2:2">
      <c r="B2275" s="3"/>
    </row>
    <row r="2276" spans="2:2">
      <c r="B2276" s="3"/>
    </row>
    <row r="2277" spans="2:2">
      <c r="B2277" s="3"/>
    </row>
    <row r="2278" spans="2:2">
      <c r="B2278" s="3"/>
    </row>
    <row r="2279" spans="2:2">
      <c r="B2279" s="3"/>
    </row>
    <row r="2280" spans="2:2">
      <c r="B2280" s="3"/>
    </row>
    <row r="2281" spans="2:2">
      <c r="B2281" s="3"/>
    </row>
    <row r="2282" spans="2:2">
      <c r="B2282" s="3"/>
    </row>
    <row r="2283" spans="2:2">
      <c r="B2283" s="3"/>
    </row>
    <row r="2284" spans="2:2">
      <c r="B2284" s="3"/>
    </row>
    <row r="2285" spans="2:2">
      <c r="B2285" s="3"/>
    </row>
    <row r="2286" spans="2:2">
      <c r="B2286" s="3"/>
    </row>
    <row r="2287" spans="2:2">
      <c r="B2287" s="3"/>
    </row>
    <row r="2288" spans="2:2">
      <c r="B2288" s="3"/>
    </row>
    <row r="2289" spans="2:2">
      <c r="B2289" s="3"/>
    </row>
    <row r="2290" spans="2:2">
      <c r="B2290" s="3"/>
    </row>
    <row r="2291" spans="2:2">
      <c r="B2291" s="3"/>
    </row>
    <row r="2292" spans="2:2">
      <c r="B2292" s="3"/>
    </row>
    <row r="2293" spans="2:2">
      <c r="B2293" s="3"/>
    </row>
    <row r="2294" spans="2:2">
      <c r="B2294" s="3"/>
    </row>
    <row r="2295" spans="2:2">
      <c r="B2295" s="3"/>
    </row>
    <row r="2296" spans="2:2">
      <c r="B2296" s="3"/>
    </row>
    <row r="2297" spans="2:2">
      <c r="B2297" s="3"/>
    </row>
    <row r="2298" spans="2:2">
      <c r="B2298" s="3"/>
    </row>
    <row r="2299" spans="2:2">
      <c r="B2299" s="3"/>
    </row>
    <row r="2300" spans="2:2">
      <c r="B2300" s="3"/>
    </row>
    <row r="2301" spans="2:2">
      <c r="B2301" s="3"/>
    </row>
    <row r="2302" spans="2:2">
      <c r="B2302" s="3"/>
    </row>
    <row r="2303" spans="2:2">
      <c r="B2303" s="3"/>
    </row>
    <row r="2304" spans="2:2">
      <c r="B2304" s="3"/>
    </row>
    <row r="2305" spans="2:2">
      <c r="B2305" s="3"/>
    </row>
    <row r="2306" spans="2:2">
      <c r="B2306" s="3"/>
    </row>
    <row r="2307" spans="2:2">
      <c r="B2307" s="3"/>
    </row>
    <row r="2308" spans="2:2">
      <c r="B2308" s="3"/>
    </row>
    <row r="2309" spans="2:2">
      <c r="B2309" s="3"/>
    </row>
    <row r="2310" spans="2:2">
      <c r="B2310" s="3"/>
    </row>
    <row r="2311" spans="2:2">
      <c r="B2311" s="3"/>
    </row>
    <row r="2312" spans="2:2">
      <c r="B2312" s="3"/>
    </row>
    <row r="2313" spans="2:2">
      <c r="B2313" s="3"/>
    </row>
    <row r="2314" spans="2:2">
      <c r="B2314" s="3"/>
    </row>
    <row r="2315" spans="2:2">
      <c r="B2315" s="3"/>
    </row>
    <row r="2316" spans="2:2">
      <c r="B2316" s="3"/>
    </row>
    <row r="2317" spans="2:2">
      <c r="B2317" s="3"/>
    </row>
    <row r="2318" spans="2:2">
      <c r="B2318" s="3"/>
    </row>
    <row r="2319" spans="2:2">
      <c r="B2319" s="3"/>
    </row>
    <row r="2320" spans="2:2">
      <c r="B2320" s="3"/>
    </row>
    <row r="2321" spans="2:2">
      <c r="B2321" s="3"/>
    </row>
    <row r="2322" spans="2:2">
      <c r="B2322" s="3"/>
    </row>
    <row r="2323" spans="2:2">
      <c r="B2323" s="3"/>
    </row>
    <row r="2324" spans="2:2">
      <c r="B2324" s="3"/>
    </row>
    <row r="2325" spans="2:2">
      <c r="B2325" s="3"/>
    </row>
    <row r="2326" spans="2:2">
      <c r="B2326" s="3"/>
    </row>
    <row r="2327" spans="2:2">
      <c r="B2327" s="3"/>
    </row>
    <row r="2328" spans="2:2">
      <c r="B2328" s="3"/>
    </row>
    <row r="2329" spans="2:2">
      <c r="B2329" s="3"/>
    </row>
    <row r="2330" spans="2:2">
      <c r="B2330" s="3"/>
    </row>
    <row r="2331" spans="2:2">
      <c r="B2331" s="3"/>
    </row>
    <row r="2332" spans="2:2">
      <c r="B2332" s="3"/>
    </row>
    <row r="2333" spans="2:2">
      <c r="B2333" s="3"/>
    </row>
    <row r="2334" spans="2:2">
      <c r="B2334" s="3"/>
    </row>
    <row r="2335" spans="2:2">
      <c r="B2335" s="3"/>
    </row>
    <row r="2336" spans="2:2">
      <c r="B2336" s="3"/>
    </row>
    <row r="2337" spans="2:2">
      <c r="B2337" s="3"/>
    </row>
    <row r="2338" spans="2:2">
      <c r="B2338" s="3"/>
    </row>
    <row r="2339" spans="2:2">
      <c r="B2339" s="3"/>
    </row>
    <row r="2340" spans="2:2">
      <c r="B2340" s="3"/>
    </row>
    <row r="2341" spans="2:2">
      <c r="B2341" s="3"/>
    </row>
    <row r="2342" spans="2:2">
      <c r="B2342" s="3"/>
    </row>
    <row r="2343" spans="2:2">
      <c r="B2343" s="3"/>
    </row>
    <row r="2344" spans="2:2">
      <c r="B2344" s="3"/>
    </row>
    <row r="2345" spans="2:2">
      <c r="B2345" s="3"/>
    </row>
    <row r="2346" spans="2:2">
      <c r="B2346" s="3"/>
    </row>
    <row r="2347" spans="2:2">
      <c r="B2347" s="3"/>
    </row>
    <row r="2348" spans="2:2">
      <c r="B2348" s="3"/>
    </row>
    <row r="2349" spans="2:2">
      <c r="B2349" s="3"/>
    </row>
    <row r="2350" spans="2:2">
      <c r="B2350" s="3"/>
    </row>
    <row r="2351" spans="2:2">
      <c r="B2351" s="3"/>
    </row>
    <row r="2352" spans="2:2">
      <c r="B2352" s="3"/>
    </row>
    <row r="2353" spans="2:2">
      <c r="B2353" s="3"/>
    </row>
    <row r="2354" spans="2:2">
      <c r="B2354" s="3"/>
    </row>
    <row r="2355" spans="2:2">
      <c r="B2355" s="3"/>
    </row>
    <row r="2356" spans="2:2">
      <c r="B2356" s="3"/>
    </row>
    <row r="2357" spans="2:2">
      <c r="B2357" s="3"/>
    </row>
    <row r="2358" spans="2:2">
      <c r="B2358" s="3"/>
    </row>
    <row r="2359" spans="2:2">
      <c r="B2359" s="3"/>
    </row>
    <row r="2360" spans="2:2">
      <c r="B2360" s="3"/>
    </row>
    <row r="2361" spans="2:2">
      <c r="B2361" s="3"/>
    </row>
    <row r="2362" spans="2:2">
      <c r="B2362" s="3"/>
    </row>
    <row r="2363" spans="2:2">
      <c r="B2363" s="3"/>
    </row>
    <row r="2364" spans="2:2">
      <c r="B2364" s="3"/>
    </row>
    <row r="2365" spans="2:2">
      <c r="B2365" s="3"/>
    </row>
    <row r="2366" spans="2:2">
      <c r="B2366" s="3"/>
    </row>
    <row r="2367" spans="2:2">
      <c r="B2367" s="3"/>
    </row>
    <row r="2368" spans="2:2">
      <c r="B2368" s="3"/>
    </row>
    <row r="2369" spans="2:2">
      <c r="B2369" s="3"/>
    </row>
    <row r="2370" spans="2:2">
      <c r="B2370" s="3"/>
    </row>
    <row r="2371" spans="2:2">
      <c r="B2371" s="3"/>
    </row>
    <row r="2372" spans="2:2">
      <c r="B2372" s="3"/>
    </row>
    <row r="2373" spans="2:2">
      <c r="B2373" s="3"/>
    </row>
    <row r="2374" spans="2:2">
      <c r="B2374" s="3"/>
    </row>
    <row r="2375" spans="2:2">
      <c r="B2375" s="3"/>
    </row>
    <row r="2376" spans="2:2">
      <c r="B2376" s="3"/>
    </row>
    <row r="2377" spans="2:2">
      <c r="B2377" s="3"/>
    </row>
    <row r="2378" spans="2:2">
      <c r="B2378" s="3"/>
    </row>
    <row r="2379" spans="2:2">
      <c r="B2379" s="3"/>
    </row>
    <row r="2380" spans="2:2">
      <c r="B2380" s="3"/>
    </row>
    <row r="2381" spans="2:2">
      <c r="B2381" s="3"/>
    </row>
    <row r="2382" spans="2:2">
      <c r="B2382" s="3"/>
    </row>
    <row r="2383" spans="2:2">
      <c r="B2383" s="3"/>
    </row>
    <row r="2384" spans="2:2">
      <c r="B2384" s="3"/>
    </row>
    <row r="2385" spans="2:2">
      <c r="B2385" s="3"/>
    </row>
    <row r="2386" spans="2:2">
      <c r="B2386" s="3"/>
    </row>
    <row r="2387" spans="2:2">
      <c r="B2387" s="3"/>
    </row>
    <row r="2388" spans="2:2">
      <c r="B2388" s="3"/>
    </row>
    <row r="2389" spans="2:2">
      <c r="B2389" s="3"/>
    </row>
    <row r="2390" spans="2:2">
      <c r="B2390" s="3"/>
    </row>
    <row r="2391" spans="2:2">
      <c r="B2391" s="3"/>
    </row>
    <row r="2392" spans="2:2">
      <c r="B2392" s="3"/>
    </row>
    <row r="2393" spans="2:2">
      <c r="B2393" s="3"/>
    </row>
    <row r="2394" spans="2:2">
      <c r="B2394" s="3"/>
    </row>
    <row r="2395" spans="2:2">
      <c r="B2395" s="3"/>
    </row>
    <row r="2396" spans="2:2">
      <c r="B2396" s="3"/>
    </row>
    <row r="2397" spans="2:2">
      <c r="B2397" s="3"/>
    </row>
    <row r="2398" spans="2:2">
      <c r="B2398" s="3"/>
    </row>
    <row r="2399" spans="2:2">
      <c r="B2399" s="3"/>
    </row>
    <row r="2400" spans="2:2">
      <c r="B2400" s="3"/>
    </row>
    <row r="2401" spans="2:2">
      <c r="B2401" s="3"/>
    </row>
    <row r="2402" spans="2:2">
      <c r="B2402" s="3"/>
    </row>
    <row r="2403" spans="2:2">
      <c r="B2403" s="3"/>
    </row>
    <row r="2404" spans="2:2">
      <c r="B2404" s="3"/>
    </row>
    <row r="2405" spans="2:2">
      <c r="B2405" s="3"/>
    </row>
    <row r="2406" spans="2:2">
      <c r="B2406" s="3"/>
    </row>
    <row r="2407" spans="2:2">
      <c r="B2407" s="3"/>
    </row>
    <row r="2408" spans="2:2">
      <c r="B2408" s="3"/>
    </row>
    <row r="2409" spans="2:2">
      <c r="B2409" s="3"/>
    </row>
    <row r="2410" spans="2:2">
      <c r="B2410" s="3"/>
    </row>
    <row r="2411" spans="2:2">
      <c r="B2411" s="3"/>
    </row>
    <row r="2412" spans="2:2">
      <c r="B2412" s="3"/>
    </row>
    <row r="2413" spans="2:2">
      <c r="B2413" s="3"/>
    </row>
    <row r="2414" spans="2:2">
      <c r="B2414" s="3"/>
    </row>
    <row r="2415" spans="2:2">
      <c r="B2415" s="3"/>
    </row>
    <row r="2416" spans="2:2">
      <c r="B2416" s="3"/>
    </row>
    <row r="2417" spans="2:2">
      <c r="B2417" s="3"/>
    </row>
    <row r="2418" spans="2:2">
      <c r="B2418" s="3"/>
    </row>
    <row r="2419" spans="2:2">
      <c r="B2419" s="3"/>
    </row>
    <row r="2420" spans="2:2">
      <c r="B2420" s="3"/>
    </row>
    <row r="2421" spans="2:2">
      <c r="B2421" s="3"/>
    </row>
    <row r="2422" spans="2:2">
      <c r="B2422" s="3"/>
    </row>
    <row r="2423" spans="2:2">
      <c r="B2423" s="3"/>
    </row>
    <row r="2424" spans="2:2">
      <c r="B2424" s="3"/>
    </row>
    <row r="2425" spans="2:2">
      <c r="B2425" s="3"/>
    </row>
    <row r="2426" spans="2:2">
      <c r="B2426" s="3"/>
    </row>
    <row r="2427" spans="2:2">
      <c r="B2427" s="3"/>
    </row>
    <row r="2428" spans="2:2">
      <c r="B2428" s="3"/>
    </row>
    <row r="2429" spans="2:2">
      <c r="B2429" s="3"/>
    </row>
    <row r="2430" spans="2:2">
      <c r="B2430" s="3"/>
    </row>
    <row r="2431" spans="2:2">
      <c r="B2431" s="3"/>
    </row>
    <row r="2432" spans="2:2">
      <c r="B2432" s="3"/>
    </row>
    <row r="2433" spans="2:2">
      <c r="B2433" s="3"/>
    </row>
    <row r="2434" spans="2:2">
      <c r="B2434" s="3"/>
    </row>
    <row r="2435" spans="2:2">
      <c r="B2435" s="3"/>
    </row>
    <row r="2436" spans="2:2">
      <c r="B2436" s="3"/>
    </row>
    <row r="2437" spans="2:2">
      <c r="B2437" s="3"/>
    </row>
    <row r="2438" spans="2:2">
      <c r="B2438" s="3"/>
    </row>
    <row r="2439" spans="2:2">
      <c r="B2439" s="3"/>
    </row>
    <row r="2440" spans="2:2">
      <c r="B2440" s="3"/>
    </row>
    <row r="2441" spans="2:2">
      <c r="B2441" s="3"/>
    </row>
    <row r="2442" spans="2:2">
      <c r="B2442" s="3"/>
    </row>
    <row r="2443" spans="2:2">
      <c r="B2443" s="3"/>
    </row>
    <row r="2444" spans="2:2">
      <c r="B2444" s="3"/>
    </row>
    <row r="2445" spans="2:2">
      <c r="B2445" s="3"/>
    </row>
    <row r="2446" spans="2:2">
      <c r="B2446" s="3"/>
    </row>
    <row r="2447" spans="2:2">
      <c r="B2447" s="3"/>
    </row>
    <row r="2448" spans="2:2">
      <c r="B2448" s="3"/>
    </row>
    <row r="2449" spans="2:2">
      <c r="B2449" s="3"/>
    </row>
    <row r="2450" spans="2:2">
      <c r="B2450" s="3"/>
    </row>
    <row r="2451" spans="2:2">
      <c r="B2451" s="3"/>
    </row>
    <row r="2452" spans="2:2">
      <c r="B2452" s="3"/>
    </row>
    <row r="2453" spans="2:2">
      <c r="B2453" s="3"/>
    </row>
    <row r="2454" spans="2:2">
      <c r="B2454" s="3"/>
    </row>
    <row r="2455" spans="2:2">
      <c r="B2455" s="3"/>
    </row>
    <row r="2456" spans="2:2">
      <c r="B2456" s="3"/>
    </row>
    <row r="2457" spans="2:2">
      <c r="B2457" s="3"/>
    </row>
    <row r="2458" spans="2:2">
      <c r="B2458" s="3"/>
    </row>
    <row r="2459" spans="2:2">
      <c r="B2459" s="3"/>
    </row>
    <row r="2460" spans="2:2">
      <c r="B2460" s="3"/>
    </row>
    <row r="2461" spans="2:2">
      <c r="B2461" s="3"/>
    </row>
    <row r="2462" spans="2:2">
      <c r="B2462" s="3"/>
    </row>
    <row r="2463" spans="2:2">
      <c r="B2463" s="3"/>
    </row>
    <row r="2464" spans="2:2">
      <c r="B2464" s="3"/>
    </row>
    <row r="2465" spans="2:2">
      <c r="B2465" s="3"/>
    </row>
    <row r="2466" spans="2:2">
      <c r="B2466" s="3"/>
    </row>
    <row r="2467" spans="2:2">
      <c r="B2467" s="3"/>
    </row>
    <row r="2468" spans="2:2">
      <c r="B2468" s="3"/>
    </row>
    <row r="2469" spans="2:2">
      <c r="B2469" s="3"/>
    </row>
    <row r="2470" spans="2:2">
      <c r="B2470" s="3"/>
    </row>
    <row r="2471" spans="2:2">
      <c r="B2471" s="3"/>
    </row>
    <row r="2472" spans="2:2">
      <c r="B2472" s="3"/>
    </row>
    <row r="2473" spans="2:2">
      <c r="B2473" s="3"/>
    </row>
    <row r="2474" spans="2:2">
      <c r="B2474" s="3"/>
    </row>
    <row r="2475" spans="2:2">
      <c r="B2475" s="3"/>
    </row>
    <row r="2476" spans="2:2">
      <c r="B2476" s="3"/>
    </row>
    <row r="2477" spans="2:2">
      <c r="B2477" s="3"/>
    </row>
    <row r="2478" spans="2:2">
      <c r="B2478" s="3"/>
    </row>
    <row r="2479" spans="2:2">
      <c r="B2479" s="3"/>
    </row>
    <row r="2480" spans="2:2">
      <c r="B2480" s="3"/>
    </row>
    <row r="2481" spans="2:2">
      <c r="B2481" s="3"/>
    </row>
    <row r="2482" spans="2:2">
      <c r="B2482" s="3"/>
    </row>
    <row r="2483" spans="2:2">
      <c r="B2483" s="3"/>
    </row>
    <row r="2484" spans="2:2">
      <c r="B2484" s="3"/>
    </row>
    <row r="2485" spans="2:2">
      <c r="B2485" s="3"/>
    </row>
    <row r="2486" spans="2:2">
      <c r="B2486" s="3"/>
    </row>
    <row r="2487" spans="2:2">
      <c r="B2487" s="3"/>
    </row>
    <row r="2488" spans="2:2">
      <c r="B2488" s="3"/>
    </row>
    <row r="2489" spans="2:2">
      <c r="B2489" s="3"/>
    </row>
    <row r="2490" spans="2:2">
      <c r="B2490" s="3"/>
    </row>
    <row r="2491" spans="2:2">
      <c r="B2491" s="3"/>
    </row>
    <row r="2492" spans="2:2">
      <c r="B2492" s="3"/>
    </row>
    <row r="2493" spans="2:2">
      <c r="B2493" s="3"/>
    </row>
    <row r="2494" spans="2:2">
      <c r="B2494" s="3"/>
    </row>
    <row r="2495" spans="2:2">
      <c r="B2495" s="3"/>
    </row>
    <row r="2496" spans="2:2">
      <c r="B2496" s="3"/>
    </row>
    <row r="2497" spans="2:2">
      <c r="B2497" s="3"/>
    </row>
    <row r="2498" spans="2:2">
      <c r="B2498" s="3"/>
    </row>
    <row r="2499" spans="2:2">
      <c r="B2499" s="3"/>
    </row>
    <row r="2500" spans="2:2">
      <c r="B2500" s="3"/>
    </row>
    <row r="2501" spans="2:2">
      <c r="B2501" s="3"/>
    </row>
    <row r="2502" spans="2:2">
      <c r="B2502" s="3"/>
    </row>
    <row r="2503" spans="2:2">
      <c r="B2503" s="3"/>
    </row>
    <row r="2504" spans="2:2">
      <c r="B2504" s="3"/>
    </row>
    <row r="2505" spans="2:2">
      <c r="B2505" s="3"/>
    </row>
    <row r="2506" spans="2:2">
      <c r="B2506" s="3"/>
    </row>
    <row r="2507" spans="2:2">
      <c r="B2507" s="3"/>
    </row>
    <row r="2508" spans="2:2">
      <c r="B2508" s="3"/>
    </row>
    <row r="2509" spans="2:2">
      <c r="B2509" s="3"/>
    </row>
    <row r="2510" spans="2:2">
      <c r="B2510" s="3"/>
    </row>
    <row r="2511" spans="2:2">
      <c r="B2511" s="3"/>
    </row>
    <row r="2512" spans="2:2">
      <c r="B2512" s="3"/>
    </row>
    <row r="2513" spans="2:2">
      <c r="B2513" s="3"/>
    </row>
    <row r="2514" spans="2:2">
      <c r="B2514" s="3"/>
    </row>
    <row r="2515" spans="2:2">
      <c r="B2515" s="3"/>
    </row>
    <row r="2516" spans="2:2">
      <c r="B2516" s="3"/>
    </row>
    <row r="2517" spans="2:2">
      <c r="B2517" s="3"/>
    </row>
    <row r="2518" spans="2:2">
      <c r="B2518" s="3"/>
    </row>
    <row r="2519" spans="2:2">
      <c r="B2519" s="3"/>
    </row>
    <row r="2520" spans="2:2">
      <c r="B2520" s="3"/>
    </row>
    <row r="2521" spans="2:2">
      <c r="B2521" s="3"/>
    </row>
    <row r="2522" spans="2:2">
      <c r="B2522" s="3"/>
    </row>
    <row r="2523" spans="2:2">
      <c r="B2523" s="3"/>
    </row>
    <row r="2524" spans="2:2">
      <c r="B2524" s="3"/>
    </row>
    <row r="2525" spans="2:2">
      <c r="B2525" s="3"/>
    </row>
    <row r="2526" spans="2:2">
      <c r="B2526" s="3"/>
    </row>
    <row r="2527" spans="2:2">
      <c r="B2527" s="3"/>
    </row>
    <row r="2528" spans="2:2">
      <c r="B2528" s="3"/>
    </row>
    <row r="2529" spans="2:2">
      <c r="B2529" s="3"/>
    </row>
    <row r="2530" spans="2:2">
      <c r="B2530" s="3"/>
    </row>
    <row r="2531" spans="2:2">
      <c r="B2531" s="3"/>
    </row>
    <row r="2532" spans="2:2">
      <c r="B2532" s="3"/>
    </row>
    <row r="2533" spans="2:2">
      <c r="B2533" s="3"/>
    </row>
    <row r="2534" spans="2:2">
      <c r="B2534" s="3"/>
    </row>
    <row r="2535" spans="2:2">
      <c r="B2535" s="3"/>
    </row>
    <row r="2536" spans="2:2">
      <c r="B2536" s="3"/>
    </row>
    <row r="2537" spans="2:2">
      <c r="B2537" s="3"/>
    </row>
    <row r="2538" spans="2:2">
      <c r="B2538" s="3"/>
    </row>
    <row r="2539" spans="2:2">
      <c r="B2539" s="3"/>
    </row>
    <row r="2540" spans="2:2">
      <c r="B2540" s="3"/>
    </row>
    <row r="2541" spans="2:2">
      <c r="B2541" s="3"/>
    </row>
    <row r="2542" spans="2:2">
      <c r="B2542" s="3"/>
    </row>
    <row r="2543" spans="2:2">
      <c r="B2543" s="3"/>
    </row>
    <row r="2544" spans="2:2">
      <c r="B2544" s="3"/>
    </row>
    <row r="2545" spans="2:2">
      <c r="B2545" s="3"/>
    </row>
    <row r="2546" spans="2:2">
      <c r="B2546" s="3"/>
    </row>
    <row r="2547" spans="2:2">
      <c r="B2547" s="3"/>
    </row>
    <row r="2548" spans="2:2">
      <c r="B2548" s="3"/>
    </row>
    <row r="2549" spans="2:2">
      <c r="B2549" s="3"/>
    </row>
    <row r="2550" spans="2:2">
      <c r="B2550" s="3"/>
    </row>
    <row r="2551" spans="2:2">
      <c r="B2551" s="3"/>
    </row>
    <row r="2552" spans="2:2">
      <c r="B2552" s="3"/>
    </row>
    <row r="2553" spans="2:2">
      <c r="B2553" s="3"/>
    </row>
    <row r="2554" spans="2:2">
      <c r="B2554" s="3"/>
    </row>
    <row r="2555" spans="2:2">
      <c r="B2555" s="3"/>
    </row>
    <row r="2556" spans="2:2">
      <c r="B2556" s="3"/>
    </row>
    <row r="2557" spans="2:2">
      <c r="B2557" s="3"/>
    </row>
    <row r="2558" spans="2:2">
      <c r="B2558" s="3"/>
    </row>
    <row r="2559" spans="2:2">
      <c r="B2559" s="3"/>
    </row>
    <row r="2560" spans="2:2">
      <c r="B2560" s="3"/>
    </row>
    <row r="2561" spans="2:2">
      <c r="B2561" s="3"/>
    </row>
    <row r="2562" spans="2:2">
      <c r="B2562" s="3"/>
    </row>
    <row r="2563" spans="2:2">
      <c r="B2563" s="3"/>
    </row>
    <row r="2564" spans="2:2">
      <c r="B2564" s="3"/>
    </row>
    <row r="2565" spans="2:2">
      <c r="B2565" s="3"/>
    </row>
    <row r="2566" spans="2:2">
      <c r="B2566" s="3"/>
    </row>
    <row r="2567" spans="2:2">
      <c r="B2567" s="3"/>
    </row>
    <row r="2568" spans="2:2">
      <c r="B2568" s="3"/>
    </row>
    <row r="2569" spans="2:2">
      <c r="B2569" s="3"/>
    </row>
    <row r="2570" spans="2:2">
      <c r="B2570" s="3"/>
    </row>
    <row r="2571" spans="2:2">
      <c r="B2571" s="3"/>
    </row>
    <row r="2572" spans="2:2">
      <c r="B2572" s="3"/>
    </row>
    <row r="2573" spans="2:2">
      <c r="B2573" s="3"/>
    </row>
    <row r="2574" spans="2:2">
      <c r="B2574" s="3"/>
    </row>
    <row r="2575" spans="2:2">
      <c r="B2575" s="3"/>
    </row>
    <row r="2576" spans="2:2">
      <c r="B2576" s="3"/>
    </row>
    <row r="2577" spans="2:2">
      <c r="B2577" s="3"/>
    </row>
    <row r="2578" spans="2:2">
      <c r="B2578" s="3"/>
    </row>
    <row r="2579" spans="2:2">
      <c r="B2579" s="3"/>
    </row>
    <row r="2580" spans="2:2">
      <c r="B2580" s="3"/>
    </row>
    <row r="2581" spans="2:2">
      <c r="B2581" s="3"/>
    </row>
    <row r="2582" spans="2:2">
      <c r="B2582" s="3"/>
    </row>
    <row r="2583" spans="2:2">
      <c r="B2583" s="3"/>
    </row>
    <row r="2584" spans="2:2">
      <c r="B2584" s="3"/>
    </row>
    <row r="2585" spans="2:2">
      <c r="B2585" s="3"/>
    </row>
    <row r="2586" spans="2:2">
      <c r="B2586" s="3"/>
    </row>
    <row r="2587" spans="2:2">
      <c r="B2587" s="3"/>
    </row>
    <row r="2588" spans="2:2">
      <c r="B2588" s="3"/>
    </row>
    <row r="2589" spans="2:2">
      <c r="B2589" s="3"/>
    </row>
    <row r="2590" spans="2:2">
      <c r="B2590" s="3"/>
    </row>
    <row r="2591" spans="2:2">
      <c r="B2591" s="3"/>
    </row>
    <row r="2592" spans="2:2">
      <c r="B2592" s="3"/>
    </row>
    <row r="2593" spans="2:2">
      <c r="B2593" s="3"/>
    </row>
    <row r="2594" spans="2:2">
      <c r="B2594" s="3"/>
    </row>
    <row r="2595" spans="2:2">
      <c r="B2595" s="3"/>
    </row>
    <row r="2596" spans="2:2">
      <c r="B2596" s="3"/>
    </row>
    <row r="2597" spans="2:2">
      <c r="B2597" s="3"/>
    </row>
    <row r="2598" spans="2:2">
      <c r="B2598" s="3"/>
    </row>
    <row r="2599" spans="2:2">
      <c r="B2599" s="3"/>
    </row>
    <row r="2600" spans="2:2">
      <c r="B2600" s="3"/>
    </row>
    <row r="2601" spans="2:2">
      <c r="B2601" s="3"/>
    </row>
    <row r="2602" spans="2:2">
      <c r="B2602" s="3"/>
    </row>
    <row r="2603" spans="2:2">
      <c r="B2603" s="3"/>
    </row>
    <row r="2604" spans="2:2">
      <c r="B2604" s="3"/>
    </row>
    <row r="2605" spans="2:2">
      <c r="B2605" s="3"/>
    </row>
    <row r="2606" spans="2:2">
      <c r="B2606" s="3"/>
    </row>
    <row r="2607" spans="2:2">
      <c r="B2607" s="3"/>
    </row>
    <row r="2608" spans="2:2">
      <c r="B2608" s="3"/>
    </row>
    <row r="2609" spans="2:2">
      <c r="B2609" s="3"/>
    </row>
    <row r="2610" spans="2:2">
      <c r="B2610" s="3"/>
    </row>
    <row r="2611" spans="2:2">
      <c r="B2611" s="3"/>
    </row>
    <row r="2612" spans="2:2">
      <c r="B2612" s="3"/>
    </row>
    <row r="2613" spans="2:2">
      <c r="B2613" s="3"/>
    </row>
    <row r="2614" spans="2:2">
      <c r="B2614" s="3"/>
    </row>
    <row r="2615" spans="2:2">
      <c r="B2615" s="3"/>
    </row>
    <row r="2616" spans="2:2">
      <c r="B2616" s="3"/>
    </row>
    <row r="2617" spans="2:2">
      <c r="B2617" s="3"/>
    </row>
    <row r="2618" spans="2:2">
      <c r="B2618" s="3"/>
    </row>
    <row r="2619" spans="2:2">
      <c r="B2619" s="3"/>
    </row>
    <row r="2620" spans="2:2">
      <c r="B2620" s="3"/>
    </row>
    <row r="2621" spans="2:2">
      <c r="B2621" s="3"/>
    </row>
    <row r="2622" spans="2:2">
      <c r="B2622" s="3"/>
    </row>
    <row r="2623" spans="2:2">
      <c r="B2623" s="3"/>
    </row>
    <row r="2624" spans="2:2">
      <c r="B2624" s="3"/>
    </row>
    <row r="2625" spans="2:2">
      <c r="B2625" s="3"/>
    </row>
    <row r="2626" spans="2:2">
      <c r="B2626" s="3"/>
    </row>
    <row r="2627" spans="2:2">
      <c r="B2627" s="3"/>
    </row>
    <row r="2628" spans="2:2">
      <c r="B2628" s="3"/>
    </row>
    <row r="2629" spans="2:2">
      <c r="B2629" s="3"/>
    </row>
    <row r="2630" spans="2:2">
      <c r="B2630" s="3"/>
    </row>
    <row r="2631" spans="2:2">
      <c r="B2631" s="3"/>
    </row>
    <row r="2632" spans="2:2">
      <c r="B2632" s="3"/>
    </row>
    <row r="2633" spans="2:2">
      <c r="B2633" s="3"/>
    </row>
    <row r="2634" spans="2:2">
      <c r="B2634" s="3"/>
    </row>
    <row r="2635" spans="2:2">
      <c r="B2635" s="3"/>
    </row>
    <row r="2636" spans="2:2">
      <c r="B2636" s="3"/>
    </row>
    <row r="2637" spans="2:2">
      <c r="B2637" s="3"/>
    </row>
    <row r="2638" spans="2:2">
      <c r="B2638" s="3"/>
    </row>
    <row r="2639" spans="2:2">
      <c r="B2639" s="3"/>
    </row>
    <row r="2640" spans="2:2">
      <c r="B2640" s="3"/>
    </row>
    <row r="2641" spans="2:2">
      <c r="B2641" s="3"/>
    </row>
    <row r="2642" spans="2:2">
      <c r="B2642" s="3"/>
    </row>
    <row r="2643" spans="2:2">
      <c r="B2643" s="3"/>
    </row>
    <row r="2644" spans="2:2">
      <c r="B2644" s="3"/>
    </row>
    <row r="2645" spans="2:2">
      <c r="B2645" s="3"/>
    </row>
    <row r="2646" spans="2:2">
      <c r="B2646" s="3"/>
    </row>
    <row r="2647" spans="2:2">
      <c r="B2647" s="3"/>
    </row>
    <row r="2648" spans="2:2">
      <c r="B2648" s="3"/>
    </row>
    <row r="2649" spans="2:2">
      <c r="B2649" s="3"/>
    </row>
    <row r="2650" spans="2:2">
      <c r="B2650" s="3"/>
    </row>
    <row r="2651" spans="2:2">
      <c r="B2651" s="3"/>
    </row>
    <row r="2652" spans="2:2">
      <c r="B2652" s="3"/>
    </row>
    <row r="2653" spans="2:2">
      <c r="B2653" s="3"/>
    </row>
    <row r="2654" spans="2:2">
      <c r="B2654" s="3"/>
    </row>
    <row r="2655" spans="2:2">
      <c r="B2655" s="3"/>
    </row>
    <row r="2656" spans="2:2">
      <c r="B2656" s="3"/>
    </row>
    <row r="2657" spans="2:2">
      <c r="B2657" s="3"/>
    </row>
    <row r="2658" spans="2:2">
      <c r="B2658" s="3"/>
    </row>
    <row r="2659" spans="2:2">
      <c r="B2659" s="3"/>
    </row>
    <row r="2660" spans="2:2">
      <c r="B2660" s="3"/>
    </row>
    <row r="2661" spans="2:2">
      <c r="B2661" s="3"/>
    </row>
    <row r="2662" spans="2:2">
      <c r="B2662" s="3"/>
    </row>
    <row r="2663" spans="2:2">
      <c r="B2663" s="3"/>
    </row>
    <row r="2664" spans="2:2">
      <c r="B2664" s="3"/>
    </row>
    <row r="2665" spans="2:2">
      <c r="B2665" s="3"/>
    </row>
    <row r="2666" spans="2:2">
      <c r="B2666" s="3"/>
    </row>
    <row r="2667" spans="2:2">
      <c r="B2667" s="3"/>
    </row>
    <row r="2668" spans="2:2">
      <c r="B2668" s="3"/>
    </row>
    <row r="2669" spans="2:2">
      <c r="B2669" s="3"/>
    </row>
    <row r="2670" spans="2:2">
      <c r="B2670" s="3"/>
    </row>
    <row r="2671" spans="2:2">
      <c r="B2671" s="3"/>
    </row>
    <row r="2672" spans="2:2">
      <c r="B2672" s="3"/>
    </row>
    <row r="2673" spans="2:2">
      <c r="B2673" s="3"/>
    </row>
    <row r="2674" spans="2:2">
      <c r="B2674" s="3"/>
    </row>
    <row r="2675" spans="2:2">
      <c r="B2675" s="3"/>
    </row>
    <row r="2676" spans="2:2">
      <c r="B2676" s="3"/>
    </row>
    <row r="2677" spans="2:2">
      <c r="B2677" s="3"/>
    </row>
    <row r="2678" spans="2:2">
      <c r="B2678" s="3"/>
    </row>
    <row r="2679" spans="2:2">
      <c r="B2679" s="3"/>
    </row>
    <row r="2680" spans="2:2">
      <c r="B2680" s="3"/>
    </row>
    <row r="2681" spans="2:2">
      <c r="B2681" s="3"/>
    </row>
    <row r="2682" spans="2:2">
      <c r="B2682" s="3"/>
    </row>
    <row r="2683" spans="2:2">
      <c r="B2683" s="3"/>
    </row>
    <row r="2684" spans="2:2">
      <c r="B2684" s="3"/>
    </row>
    <row r="2685" spans="2:2">
      <c r="B2685" s="3"/>
    </row>
    <row r="2686" spans="2:2">
      <c r="B2686" s="3"/>
    </row>
    <row r="2687" spans="2:2">
      <c r="B2687" s="3"/>
    </row>
    <row r="2688" spans="2:2">
      <c r="B2688" s="3"/>
    </row>
    <row r="2689" spans="2:2">
      <c r="B2689" s="3"/>
    </row>
    <row r="2690" spans="2:2">
      <c r="B2690" s="3"/>
    </row>
    <row r="2691" spans="2:2">
      <c r="B2691" s="3"/>
    </row>
    <row r="2692" spans="2:2">
      <c r="B2692" s="3"/>
    </row>
    <row r="2693" spans="2:2">
      <c r="B2693" s="3"/>
    </row>
    <row r="2694" spans="2:2">
      <c r="B2694" s="3"/>
    </row>
    <row r="2695" spans="2:2">
      <c r="B2695" s="3"/>
    </row>
    <row r="2696" spans="2:2">
      <c r="B2696" s="3"/>
    </row>
    <row r="2697" spans="2:2">
      <c r="B2697" s="3"/>
    </row>
    <row r="2698" spans="2:2">
      <c r="B2698" s="3"/>
    </row>
    <row r="2699" spans="2:2">
      <c r="B2699" s="3"/>
    </row>
    <row r="2700" spans="2:2">
      <c r="B2700" s="3"/>
    </row>
    <row r="2701" spans="2:2">
      <c r="B2701" s="3"/>
    </row>
    <row r="2702" spans="2:2">
      <c r="B2702" s="3"/>
    </row>
    <row r="2703" spans="2:2">
      <c r="B2703" s="3"/>
    </row>
    <row r="2704" spans="2:2">
      <c r="B2704" s="3"/>
    </row>
    <row r="2705" spans="2:2">
      <c r="B2705" s="3"/>
    </row>
    <row r="2706" spans="2:2">
      <c r="B2706" s="3"/>
    </row>
    <row r="2707" spans="2:2">
      <c r="B2707" s="3"/>
    </row>
    <row r="2708" spans="2:2">
      <c r="B2708" s="3"/>
    </row>
    <row r="2709" spans="2:2">
      <c r="B2709" s="3"/>
    </row>
    <row r="2710" spans="2:2">
      <c r="B2710" s="3"/>
    </row>
    <row r="2711" spans="2:2">
      <c r="B2711" s="3"/>
    </row>
    <row r="2712" spans="2:2">
      <c r="B2712" s="3"/>
    </row>
    <row r="2713" spans="2:2">
      <c r="B2713" s="3"/>
    </row>
    <row r="2714" spans="2:2">
      <c r="B2714" s="3"/>
    </row>
    <row r="2715" spans="2:2">
      <c r="B2715" s="3"/>
    </row>
    <row r="2716" spans="2:2">
      <c r="B2716" s="3"/>
    </row>
    <row r="2717" spans="2:2">
      <c r="B2717" s="3"/>
    </row>
    <row r="2718" spans="2:2">
      <c r="B2718" s="3"/>
    </row>
    <row r="2719" spans="2:2">
      <c r="B2719" s="3"/>
    </row>
    <row r="2720" spans="2:2">
      <c r="B2720" s="3"/>
    </row>
    <row r="2721" spans="2:2">
      <c r="B2721" s="3"/>
    </row>
    <row r="2722" spans="2:2">
      <c r="B2722" s="3"/>
    </row>
    <row r="2723" spans="2:2">
      <c r="B2723" s="3"/>
    </row>
    <row r="2724" spans="2:2">
      <c r="B2724" s="3"/>
    </row>
    <row r="2725" spans="2:2">
      <c r="B2725" s="3"/>
    </row>
    <row r="2726" spans="2:2">
      <c r="B2726" s="3"/>
    </row>
    <row r="2727" spans="2:2">
      <c r="B2727" s="3"/>
    </row>
    <row r="2728" spans="2:2">
      <c r="B2728" s="3"/>
    </row>
    <row r="2729" spans="2:2">
      <c r="B2729" s="3"/>
    </row>
    <row r="2730" spans="2:2">
      <c r="B2730" s="3"/>
    </row>
    <row r="2731" spans="2:2">
      <c r="B2731" s="3"/>
    </row>
    <row r="2732" spans="2:2">
      <c r="B2732" s="3"/>
    </row>
    <row r="2733" spans="2:2">
      <c r="B2733" s="3"/>
    </row>
    <row r="2734" spans="2:2">
      <c r="B2734" s="3"/>
    </row>
    <row r="2735" spans="2:2">
      <c r="B2735" s="3"/>
    </row>
    <row r="2736" spans="2:2">
      <c r="B2736" s="3"/>
    </row>
    <row r="2737" spans="2:2">
      <c r="B2737" s="3"/>
    </row>
    <row r="2738" spans="2:2">
      <c r="B2738" s="3"/>
    </row>
    <row r="2739" spans="2:2">
      <c r="B2739" s="3"/>
    </row>
    <row r="2740" spans="2:2">
      <c r="B2740" s="3"/>
    </row>
    <row r="2741" spans="2:2">
      <c r="B2741" s="3"/>
    </row>
    <row r="2742" spans="2:2">
      <c r="B2742" s="3"/>
    </row>
    <row r="2743" spans="2:2">
      <c r="B2743" s="3"/>
    </row>
    <row r="2744" spans="2:2">
      <c r="B2744" s="3"/>
    </row>
    <row r="2745" spans="2:2">
      <c r="B2745" s="3"/>
    </row>
    <row r="2746" spans="2:2">
      <c r="B2746" s="3"/>
    </row>
    <row r="2747" spans="2:2">
      <c r="B2747" s="3"/>
    </row>
    <row r="2748" spans="2:2">
      <c r="B2748" s="3"/>
    </row>
    <row r="2749" spans="2:2">
      <c r="B2749" s="3"/>
    </row>
    <row r="2750" spans="2:2">
      <c r="B2750" s="3"/>
    </row>
    <row r="2751" spans="2:2">
      <c r="B2751" s="3"/>
    </row>
    <row r="2752" spans="2:2">
      <c r="B2752" s="3"/>
    </row>
    <row r="2753" spans="2:2">
      <c r="B2753" s="3"/>
    </row>
    <row r="2754" spans="2:2">
      <c r="B2754" s="3"/>
    </row>
    <row r="2755" spans="2:2">
      <c r="B2755" s="3"/>
    </row>
    <row r="2756" spans="2:2">
      <c r="B2756" s="3"/>
    </row>
    <row r="2757" spans="2:2">
      <c r="B2757" s="3"/>
    </row>
    <row r="2758" spans="2:2">
      <c r="B2758" s="3"/>
    </row>
    <row r="2759" spans="2:2">
      <c r="B2759" s="3"/>
    </row>
    <row r="2760" spans="2:2">
      <c r="B2760" s="3"/>
    </row>
    <row r="2761" spans="2:2">
      <c r="B2761" s="3"/>
    </row>
    <row r="2762" spans="2:2">
      <c r="B2762" s="3"/>
    </row>
    <row r="2763" spans="2:2">
      <c r="B2763" s="3"/>
    </row>
    <row r="2764" spans="2:2">
      <c r="B2764" s="3"/>
    </row>
    <row r="2765" spans="2:2">
      <c r="B2765" s="3"/>
    </row>
    <row r="2766" spans="2:2">
      <c r="B2766" s="3"/>
    </row>
    <row r="2767" spans="2:2">
      <c r="B2767" s="3"/>
    </row>
    <row r="2768" spans="2:2">
      <c r="B2768" s="3"/>
    </row>
    <row r="2769" spans="2:2">
      <c r="B2769" s="3"/>
    </row>
    <row r="2770" spans="2:2">
      <c r="B2770" s="3"/>
    </row>
    <row r="2771" spans="2:2">
      <c r="B2771" s="3"/>
    </row>
    <row r="2772" spans="2:2">
      <c r="B2772" s="3"/>
    </row>
    <row r="2773" spans="2:2">
      <c r="B2773" s="3"/>
    </row>
    <row r="2774" spans="2:2">
      <c r="B2774" s="3"/>
    </row>
    <row r="2775" spans="2:2">
      <c r="B2775" s="3"/>
    </row>
    <row r="2776" spans="2:2">
      <c r="B2776" s="3"/>
    </row>
    <row r="2777" spans="2:2">
      <c r="B2777" s="3"/>
    </row>
    <row r="2778" spans="2:2">
      <c r="B2778" s="3"/>
    </row>
    <row r="2779" spans="2:2">
      <c r="B2779" s="3"/>
    </row>
    <row r="2780" spans="2:2">
      <c r="B2780" s="3"/>
    </row>
    <row r="2781" spans="2:2">
      <c r="B2781" s="3"/>
    </row>
    <row r="2782" spans="2:2">
      <c r="B2782" s="3"/>
    </row>
    <row r="2783" spans="2:2">
      <c r="B2783" s="3"/>
    </row>
    <row r="2784" spans="2:2">
      <c r="B2784" s="3"/>
    </row>
    <row r="2785" spans="2:2">
      <c r="B2785" s="3"/>
    </row>
    <row r="2786" spans="2:2">
      <c r="B2786" s="3"/>
    </row>
    <row r="2787" spans="2:2">
      <c r="B2787" s="3"/>
    </row>
    <row r="2788" spans="2:2">
      <c r="B2788" s="3"/>
    </row>
    <row r="2789" spans="2:2">
      <c r="B2789" s="3"/>
    </row>
    <row r="2790" spans="2:2">
      <c r="B2790" s="3"/>
    </row>
    <row r="2791" spans="2:2">
      <c r="B2791" s="3"/>
    </row>
    <row r="2792" spans="2:2">
      <c r="B2792" s="3"/>
    </row>
    <row r="2793" spans="2:2">
      <c r="B2793" s="3"/>
    </row>
    <row r="2794" spans="2:2">
      <c r="B2794" s="3"/>
    </row>
    <row r="2795" spans="2:2">
      <c r="B2795" s="3"/>
    </row>
    <row r="2796" spans="2:2">
      <c r="B2796" s="3"/>
    </row>
    <row r="2797" spans="2:2">
      <c r="B2797" s="3"/>
    </row>
    <row r="2798" spans="2:2">
      <c r="B2798" s="3"/>
    </row>
    <row r="2799" spans="2:2">
      <c r="B2799" s="3"/>
    </row>
    <row r="2800" spans="2:2">
      <c r="B2800" s="3"/>
    </row>
    <row r="2801" spans="2:2">
      <c r="B2801" s="3"/>
    </row>
    <row r="2802" spans="2:2">
      <c r="B2802" s="3"/>
    </row>
    <row r="2803" spans="2:2">
      <c r="B2803" s="3"/>
    </row>
    <row r="2804" spans="2:2">
      <c r="B2804" s="3"/>
    </row>
    <row r="2805" spans="2:2">
      <c r="B2805" s="3"/>
    </row>
    <row r="2806" spans="2:2">
      <c r="B2806" s="3"/>
    </row>
    <row r="2807" spans="2:2">
      <c r="B2807" s="3"/>
    </row>
    <row r="2808" spans="2:2">
      <c r="B2808" s="3"/>
    </row>
    <row r="2809" spans="2:2">
      <c r="B2809" s="3"/>
    </row>
    <row r="2810" spans="2:2">
      <c r="B2810" s="3"/>
    </row>
    <row r="2811" spans="2:2">
      <c r="B2811" s="3"/>
    </row>
    <row r="2812" spans="2:2">
      <c r="B2812" s="3"/>
    </row>
    <row r="2813" spans="2:2">
      <c r="B2813" s="3"/>
    </row>
    <row r="2814" spans="2:2">
      <c r="B2814" s="3"/>
    </row>
    <row r="2815" spans="2:2">
      <c r="B2815" s="3"/>
    </row>
    <row r="2816" spans="2:2">
      <c r="B2816" s="3"/>
    </row>
    <row r="2817" spans="2:2">
      <c r="B2817" s="3"/>
    </row>
    <row r="2818" spans="2:2">
      <c r="B2818" s="3"/>
    </row>
    <row r="2819" spans="2:2">
      <c r="B2819" s="3"/>
    </row>
    <row r="2820" spans="2:2">
      <c r="B2820" s="3"/>
    </row>
    <row r="2821" spans="2:2">
      <c r="B2821" s="3"/>
    </row>
    <row r="2822" spans="2:2">
      <c r="B2822" s="3"/>
    </row>
    <row r="2823" spans="2:2">
      <c r="B2823" s="3"/>
    </row>
    <row r="2824" spans="2:2">
      <c r="B2824" s="3"/>
    </row>
    <row r="2825" spans="2:2">
      <c r="B2825" s="3"/>
    </row>
    <row r="2826" spans="2:2">
      <c r="B2826" s="3"/>
    </row>
    <row r="2827" spans="2:2">
      <c r="B2827" s="3"/>
    </row>
    <row r="2828" spans="2:2">
      <c r="B2828" s="3"/>
    </row>
    <row r="2829" spans="2:2">
      <c r="B2829" s="3"/>
    </row>
    <row r="2830" spans="2:2">
      <c r="B2830" s="3"/>
    </row>
    <row r="2831" spans="2:2">
      <c r="B2831" s="3"/>
    </row>
    <row r="2832" spans="2:2">
      <c r="B2832" s="3"/>
    </row>
    <row r="2833" spans="2:2">
      <c r="B2833" s="3"/>
    </row>
    <row r="2834" spans="2:2">
      <c r="B2834" s="3"/>
    </row>
    <row r="2835" spans="2:2">
      <c r="B2835" s="3"/>
    </row>
    <row r="2836" spans="2:2">
      <c r="B2836" s="3"/>
    </row>
    <row r="2837" spans="2:2">
      <c r="B2837" s="3"/>
    </row>
    <row r="2838" spans="2:2">
      <c r="B2838" s="3"/>
    </row>
    <row r="2839" spans="2:2">
      <c r="B2839" s="3"/>
    </row>
    <row r="2840" spans="2:2">
      <c r="B2840" s="3"/>
    </row>
    <row r="2841" spans="2:2">
      <c r="B2841" s="3"/>
    </row>
    <row r="2842" spans="2:2">
      <c r="B2842" s="3"/>
    </row>
    <row r="2843" spans="2:2">
      <c r="B2843" s="3"/>
    </row>
    <row r="2844" spans="2:2">
      <c r="B2844" s="3"/>
    </row>
    <row r="2845" spans="2:2">
      <c r="B2845" s="3"/>
    </row>
    <row r="2846" spans="2:2">
      <c r="B2846" s="3"/>
    </row>
    <row r="2847" spans="2:2">
      <c r="B2847" s="3"/>
    </row>
    <row r="2848" spans="2:2">
      <c r="B2848" s="3"/>
    </row>
    <row r="2849" spans="2:2">
      <c r="B2849" s="3"/>
    </row>
    <row r="2850" spans="2:2">
      <c r="B2850" s="3"/>
    </row>
    <row r="2851" spans="2:2">
      <c r="B2851" s="3"/>
    </row>
    <row r="2852" spans="2:2">
      <c r="B2852" s="3"/>
    </row>
    <row r="2853" spans="2:2">
      <c r="B2853" s="3"/>
    </row>
    <row r="2854" spans="2:2">
      <c r="B2854" s="3"/>
    </row>
    <row r="2855" spans="2:2">
      <c r="B2855" s="3"/>
    </row>
    <row r="2856" spans="2:2">
      <c r="B2856" s="3"/>
    </row>
    <row r="2857" spans="2:2">
      <c r="B2857" s="3"/>
    </row>
    <row r="2858" spans="2:2">
      <c r="B2858" s="3"/>
    </row>
    <row r="2859" spans="2:2">
      <c r="B2859" s="3"/>
    </row>
    <row r="2860" spans="2:2">
      <c r="B2860" s="3"/>
    </row>
    <row r="2861" spans="2:2">
      <c r="B2861" s="3"/>
    </row>
    <row r="2862" spans="2:2">
      <c r="B2862" s="3"/>
    </row>
    <row r="2863" spans="2:2">
      <c r="B2863" s="3"/>
    </row>
    <row r="2864" spans="2:2">
      <c r="B2864" s="3"/>
    </row>
    <row r="2865" spans="2:2">
      <c r="B2865" s="3"/>
    </row>
    <row r="2866" spans="2:2">
      <c r="B2866" s="3"/>
    </row>
    <row r="2867" spans="2:2">
      <c r="B2867" s="3"/>
    </row>
    <row r="2868" spans="2:2">
      <c r="B2868" s="3"/>
    </row>
    <row r="2869" spans="2:2">
      <c r="B2869" s="3"/>
    </row>
    <row r="2870" spans="2:2">
      <c r="B2870" s="3"/>
    </row>
    <row r="2871" spans="2:2">
      <c r="B2871" s="3"/>
    </row>
    <row r="2872" spans="2:2">
      <c r="B2872" s="3"/>
    </row>
    <row r="2873" spans="2:2">
      <c r="B2873" s="3"/>
    </row>
    <row r="2874" spans="2:2">
      <c r="B2874" s="3"/>
    </row>
    <row r="2875" spans="2:2">
      <c r="B2875" s="3"/>
    </row>
    <row r="2876" spans="2:2">
      <c r="B2876" s="3"/>
    </row>
    <row r="2877" spans="2:2">
      <c r="B2877" s="3"/>
    </row>
    <row r="2878" spans="2:2">
      <c r="B2878" s="3"/>
    </row>
    <row r="2879" spans="2:2">
      <c r="B2879" s="3"/>
    </row>
    <row r="2880" spans="2:2">
      <c r="B2880" s="3"/>
    </row>
    <row r="2881" spans="2:2">
      <c r="B2881" s="3"/>
    </row>
    <row r="2882" spans="2:2">
      <c r="B2882" s="3"/>
    </row>
    <row r="2883" spans="2:2">
      <c r="B2883" s="3"/>
    </row>
    <row r="2884" spans="2:2">
      <c r="B2884" s="3"/>
    </row>
    <row r="2885" spans="2:2">
      <c r="B2885" s="3"/>
    </row>
    <row r="2886" spans="2:2">
      <c r="B2886" s="3"/>
    </row>
    <row r="2887" spans="2:2">
      <c r="B2887" s="3"/>
    </row>
    <row r="2888" spans="2:2">
      <c r="B2888" s="3"/>
    </row>
    <row r="2889" spans="2:2">
      <c r="B2889" s="3"/>
    </row>
    <row r="2890" spans="2:2">
      <c r="B2890" s="3"/>
    </row>
    <row r="2891" spans="2:2">
      <c r="B2891" s="3"/>
    </row>
    <row r="2892" spans="2:2">
      <c r="B2892" s="3"/>
    </row>
    <row r="2893" spans="2:2">
      <c r="B2893" s="3"/>
    </row>
    <row r="2894" spans="2:2">
      <c r="B2894" s="3"/>
    </row>
    <row r="2895" spans="2:2">
      <c r="B2895" s="3"/>
    </row>
    <row r="2896" spans="2:2">
      <c r="B2896" s="3"/>
    </row>
    <row r="2897" spans="2:2">
      <c r="B2897" s="3"/>
    </row>
    <row r="2898" spans="2:2">
      <c r="B2898" s="3"/>
    </row>
    <row r="2899" spans="2:2">
      <c r="B2899" s="3"/>
    </row>
    <row r="2900" spans="2:2">
      <c r="B2900" s="3"/>
    </row>
    <row r="2901" spans="2:2">
      <c r="B2901" s="3"/>
    </row>
    <row r="2902" spans="2:2">
      <c r="B2902" s="3"/>
    </row>
    <row r="2903" spans="2:2">
      <c r="B2903" s="3"/>
    </row>
    <row r="2904" spans="2:2">
      <c r="B2904" s="3"/>
    </row>
    <row r="2905" spans="2:2">
      <c r="B2905" s="3"/>
    </row>
    <row r="2906" spans="2:2">
      <c r="B2906" s="3"/>
    </row>
    <row r="2907" spans="2:2">
      <c r="B2907" s="3"/>
    </row>
    <row r="2908" spans="2:2">
      <c r="B2908" s="3"/>
    </row>
    <row r="2909" spans="2:2">
      <c r="B2909" s="3"/>
    </row>
    <row r="2910" spans="2:2">
      <c r="B2910" s="3"/>
    </row>
    <row r="2911" spans="2:2">
      <c r="B2911" s="3"/>
    </row>
    <row r="2912" spans="2:2">
      <c r="B2912" s="3"/>
    </row>
    <row r="2913" spans="2:2">
      <c r="B2913" s="3"/>
    </row>
    <row r="2914" spans="2:2">
      <c r="B2914" s="3"/>
    </row>
    <row r="2915" spans="2:2">
      <c r="B2915" s="3"/>
    </row>
    <row r="2916" spans="2:2">
      <c r="B2916" s="3"/>
    </row>
    <row r="2917" spans="2:2">
      <c r="B2917" s="3"/>
    </row>
    <row r="2918" spans="2:2">
      <c r="B2918" s="3"/>
    </row>
    <row r="2919" spans="2:2">
      <c r="B2919" s="3"/>
    </row>
    <row r="2920" spans="2:2">
      <c r="B2920" s="3"/>
    </row>
    <row r="2921" spans="2:2">
      <c r="B2921" s="3"/>
    </row>
    <row r="2922" spans="2:2">
      <c r="B2922" s="3"/>
    </row>
    <row r="2923" spans="2:2">
      <c r="B2923" s="3"/>
    </row>
    <row r="2924" spans="2:2">
      <c r="B2924" s="3"/>
    </row>
    <row r="2925" spans="2:2">
      <c r="B2925" s="3"/>
    </row>
    <row r="2926" spans="2:2">
      <c r="B2926" s="3"/>
    </row>
    <row r="2927" spans="2:2">
      <c r="B2927" s="3"/>
    </row>
    <row r="2928" spans="2:2">
      <c r="B2928" s="3"/>
    </row>
    <row r="2929" spans="2:2">
      <c r="B2929" s="3"/>
    </row>
    <row r="2930" spans="2:2">
      <c r="B2930" s="3"/>
    </row>
    <row r="2931" spans="2:2">
      <c r="B2931" s="3"/>
    </row>
    <row r="2932" spans="2:2">
      <c r="B2932" s="3"/>
    </row>
    <row r="2933" spans="2:2">
      <c r="B2933" s="3"/>
    </row>
    <row r="2934" spans="2:2">
      <c r="B2934" s="3"/>
    </row>
    <row r="2935" spans="2:2">
      <c r="B2935" s="3"/>
    </row>
    <row r="2936" spans="2:2">
      <c r="B2936" s="3"/>
    </row>
    <row r="2937" spans="2:2">
      <c r="B2937" s="3"/>
    </row>
    <row r="2938" spans="2:2">
      <c r="B2938" s="3"/>
    </row>
    <row r="2939" spans="2:2">
      <c r="B2939" s="3"/>
    </row>
    <row r="2940" spans="2:2">
      <c r="B2940" s="3"/>
    </row>
    <row r="2941" spans="2:2">
      <c r="B2941" s="3"/>
    </row>
    <row r="2942" spans="2:2">
      <c r="B2942" s="3"/>
    </row>
    <row r="2943" spans="2:2">
      <c r="B2943" s="3"/>
    </row>
    <row r="2944" spans="2:2">
      <c r="B2944" s="3"/>
    </row>
    <row r="2945" spans="2:2">
      <c r="B2945" s="3"/>
    </row>
    <row r="2946" spans="2:2">
      <c r="B2946" s="3"/>
    </row>
    <row r="2947" spans="2:2">
      <c r="B2947" s="3"/>
    </row>
    <row r="2948" spans="2:2">
      <c r="B2948" s="3"/>
    </row>
    <row r="2949" spans="2:2">
      <c r="B2949" s="3"/>
    </row>
    <row r="2950" spans="2:2">
      <c r="B2950" s="3"/>
    </row>
    <row r="2951" spans="2:2">
      <c r="B2951" s="3"/>
    </row>
    <row r="2952" spans="2:2">
      <c r="B2952" s="3"/>
    </row>
    <row r="2953" spans="2:2">
      <c r="B2953" s="3"/>
    </row>
    <row r="2954" spans="2:2">
      <c r="B2954" s="3"/>
    </row>
    <row r="2955" spans="2:2">
      <c r="B2955" s="3"/>
    </row>
    <row r="2956" spans="2:2">
      <c r="B2956" s="3"/>
    </row>
    <row r="2957" spans="2:2">
      <c r="B2957" s="3"/>
    </row>
    <row r="2958" spans="2:2">
      <c r="B2958" s="3"/>
    </row>
    <row r="2959" spans="2:2">
      <c r="B2959" s="3"/>
    </row>
    <row r="2960" spans="2:2">
      <c r="B2960" s="3"/>
    </row>
    <row r="2961" spans="2:2">
      <c r="B2961" s="3"/>
    </row>
    <row r="2962" spans="2:2">
      <c r="B2962" s="3"/>
    </row>
    <row r="2963" spans="2:2">
      <c r="B2963" s="3"/>
    </row>
    <row r="2964" spans="2:2">
      <c r="B2964" s="3"/>
    </row>
    <row r="2965" spans="2:2">
      <c r="B2965" s="3"/>
    </row>
    <row r="2966" spans="2:2">
      <c r="B2966" s="3"/>
    </row>
    <row r="2967" spans="2:2">
      <c r="B2967" s="3"/>
    </row>
    <row r="2968" spans="2:2">
      <c r="B2968" s="3"/>
    </row>
    <row r="2969" spans="2:2">
      <c r="B2969" s="3"/>
    </row>
    <row r="2970" spans="2:2">
      <c r="B2970" s="3"/>
    </row>
    <row r="2971" spans="2:2">
      <c r="B2971" s="3"/>
    </row>
    <row r="2972" spans="2:2">
      <c r="B2972" s="3"/>
    </row>
    <row r="2973" spans="2:2">
      <c r="B2973" s="3"/>
    </row>
    <row r="2974" spans="2:2">
      <c r="B2974" s="3"/>
    </row>
    <row r="2975" spans="2:2">
      <c r="B2975" s="3"/>
    </row>
    <row r="2976" spans="2:2">
      <c r="B2976" s="3"/>
    </row>
    <row r="2977" spans="2:2">
      <c r="B2977" s="3"/>
    </row>
    <row r="2978" spans="2:2">
      <c r="B2978" s="3"/>
    </row>
    <row r="2979" spans="2:2">
      <c r="B2979" s="3"/>
    </row>
    <row r="2980" spans="2:2">
      <c r="B2980" s="3"/>
    </row>
    <row r="2981" spans="2:2">
      <c r="B2981" s="3"/>
    </row>
    <row r="2982" spans="2:2">
      <c r="B2982" s="3"/>
    </row>
    <row r="2983" spans="2:2">
      <c r="B2983" s="3"/>
    </row>
    <row r="2984" spans="2:2">
      <c r="B2984" s="3"/>
    </row>
    <row r="2985" spans="2:2">
      <c r="B2985" s="3"/>
    </row>
    <row r="2986" spans="2:2">
      <c r="B2986" s="3"/>
    </row>
    <row r="2987" spans="2:2">
      <c r="B2987" s="3"/>
    </row>
    <row r="2988" spans="2:2">
      <c r="B2988" s="3"/>
    </row>
    <row r="2989" spans="2:2">
      <c r="B2989" s="3"/>
    </row>
    <row r="2990" spans="2:2">
      <c r="B2990" s="3"/>
    </row>
    <row r="2991" spans="2:2">
      <c r="B2991" s="3"/>
    </row>
    <row r="2992" spans="2:2">
      <c r="B2992" s="3"/>
    </row>
    <row r="2993" spans="2:2">
      <c r="B2993" s="3"/>
    </row>
    <row r="2994" spans="2:2">
      <c r="B2994" s="3"/>
    </row>
    <row r="2995" spans="2:2">
      <c r="B2995" s="3"/>
    </row>
    <row r="2996" spans="2:2">
      <c r="B2996" s="3"/>
    </row>
    <row r="2997" spans="2:2">
      <c r="B2997" s="3"/>
    </row>
    <row r="2998" spans="2:2">
      <c r="B2998" s="3"/>
    </row>
    <row r="2999" spans="2:2">
      <c r="B2999" s="3"/>
    </row>
    <row r="3000" spans="2:2">
      <c r="B3000" s="3"/>
    </row>
    <row r="3001" spans="2:2">
      <c r="B3001" s="3"/>
    </row>
    <row r="3002" spans="2:2">
      <c r="B3002" s="3"/>
    </row>
    <row r="3003" spans="2:2">
      <c r="B3003" s="3"/>
    </row>
    <row r="3004" spans="2:2">
      <c r="B3004" s="3"/>
    </row>
    <row r="3005" spans="2:2">
      <c r="B3005" s="3"/>
    </row>
    <row r="3006" spans="2:2">
      <c r="B3006" s="3"/>
    </row>
    <row r="3007" spans="2:2">
      <c r="B3007" s="3"/>
    </row>
    <row r="3008" spans="2:2">
      <c r="B3008" s="3"/>
    </row>
    <row r="3009" spans="2:2">
      <c r="B3009" s="3"/>
    </row>
    <row r="3010" spans="2:2">
      <c r="B3010" s="3"/>
    </row>
    <row r="3011" spans="2:2">
      <c r="B3011" s="3"/>
    </row>
    <row r="3012" spans="2:2">
      <c r="B3012" s="3"/>
    </row>
    <row r="3013" spans="2:2">
      <c r="B3013" s="3"/>
    </row>
    <row r="3014" spans="2:2">
      <c r="B3014" s="3"/>
    </row>
    <row r="3015" spans="2:2">
      <c r="B3015" s="3"/>
    </row>
    <row r="3016" spans="2:2">
      <c r="B3016" s="3"/>
    </row>
    <row r="3017" spans="2:2">
      <c r="B3017" s="3"/>
    </row>
    <row r="3018" spans="2:2">
      <c r="B3018" s="3"/>
    </row>
    <row r="3019" spans="2:2">
      <c r="B3019" s="3"/>
    </row>
    <row r="3020" spans="2:2">
      <c r="B3020" s="3"/>
    </row>
    <row r="3021" spans="2:2">
      <c r="B3021" s="3"/>
    </row>
    <row r="3022" spans="2:2">
      <c r="B3022" s="3"/>
    </row>
    <row r="3023" spans="2:2">
      <c r="B3023" s="3"/>
    </row>
    <row r="3024" spans="2:2">
      <c r="B3024" s="3"/>
    </row>
    <row r="3025" spans="2:2">
      <c r="B3025" s="3"/>
    </row>
    <row r="3026" spans="2:2">
      <c r="B3026" s="3"/>
    </row>
    <row r="3027" spans="2:2">
      <c r="B3027" s="3"/>
    </row>
    <row r="3028" spans="2:2">
      <c r="B3028" s="3"/>
    </row>
    <row r="3029" spans="2:2">
      <c r="B3029" s="3"/>
    </row>
    <row r="3030" spans="2:2">
      <c r="B3030" s="3"/>
    </row>
    <row r="3031" spans="2:2">
      <c r="B3031" s="3"/>
    </row>
    <row r="3032" spans="2:2">
      <c r="B3032" s="3"/>
    </row>
    <row r="3033" spans="2:2">
      <c r="B3033" s="3"/>
    </row>
    <row r="3034" spans="2:2">
      <c r="B3034" s="3"/>
    </row>
    <row r="3035" spans="2:2">
      <c r="B3035" s="3"/>
    </row>
    <row r="3036" spans="2:2">
      <c r="B3036" s="3"/>
    </row>
    <row r="3037" spans="2:2">
      <c r="B3037" s="3"/>
    </row>
    <row r="3038" spans="2:2">
      <c r="B3038" s="3"/>
    </row>
    <row r="3039" spans="2:2">
      <c r="B3039" s="3"/>
    </row>
    <row r="3040" spans="2:2">
      <c r="B3040" s="3"/>
    </row>
    <row r="3041" spans="2:2">
      <c r="B3041" s="3"/>
    </row>
    <row r="3042" spans="2:2">
      <c r="B3042" s="3"/>
    </row>
    <row r="3043" spans="2:2">
      <c r="B3043" s="3"/>
    </row>
    <row r="3044" spans="2:2">
      <c r="B3044" s="3"/>
    </row>
    <row r="3045" spans="2:2">
      <c r="B3045" s="3"/>
    </row>
    <row r="3046" spans="2:2">
      <c r="B3046" s="3"/>
    </row>
    <row r="3047" spans="2:2">
      <c r="B3047" s="3"/>
    </row>
    <row r="3048" spans="2:2">
      <c r="B3048" s="3"/>
    </row>
    <row r="3049" spans="2:2">
      <c r="B3049" s="3"/>
    </row>
    <row r="3050" spans="2:2">
      <c r="B3050" s="3"/>
    </row>
    <row r="3051" spans="2:2">
      <c r="B3051" s="3"/>
    </row>
    <row r="3052" spans="2:2">
      <c r="B3052" s="3"/>
    </row>
    <row r="3053" spans="2:2">
      <c r="B3053" s="3"/>
    </row>
    <row r="3054" spans="2:2">
      <c r="B3054" s="3"/>
    </row>
    <row r="3055" spans="2:2">
      <c r="B3055" s="3"/>
    </row>
    <row r="3056" spans="2:2">
      <c r="B3056" s="3"/>
    </row>
    <row r="3057" spans="2:2">
      <c r="B3057" s="3"/>
    </row>
    <row r="3058" spans="2:2">
      <c r="B3058" s="3"/>
    </row>
    <row r="3059" spans="2:2">
      <c r="B3059" s="3"/>
    </row>
    <row r="3060" spans="2:2">
      <c r="B3060" s="3"/>
    </row>
    <row r="3061" spans="2:2">
      <c r="B3061" s="3"/>
    </row>
    <row r="3062" spans="2:2">
      <c r="B3062" s="3"/>
    </row>
    <row r="3063" spans="2:2">
      <c r="B3063" s="3"/>
    </row>
    <row r="3064" spans="2:2">
      <c r="B3064" s="3"/>
    </row>
    <row r="3065" spans="2:2">
      <c r="B3065" s="3"/>
    </row>
    <row r="3066" spans="2:2">
      <c r="B3066" s="3"/>
    </row>
    <row r="3067" spans="2:2">
      <c r="B3067" s="3"/>
    </row>
    <row r="3068" spans="2:2">
      <c r="B3068" s="3"/>
    </row>
    <row r="3069" spans="2:2">
      <c r="B3069" s="3"/>
    </row>
    <row r="3070" spans="2:2">
      <c r="B3070" s="3"/>
    </row>
    <row r="3071" spans="2:2">
      <c r="B3071" s="3"/>
    </row>
    <row r="3072" spans="2:2">
      <c r="B3072" s="3"/>
    </row>
    <row r="3073" spans="2:2">
      <c r="B3073" s="3"/>
    </row>
    <row r="3074" spans="2:2">
      <c r="B3074" s="3"/>
    </row>
    <row r="3075" spans="2:2">
      <c r="B3075" s="3"/>
    </row>
    <row r="3076" spans="2:2">
      <c r="B3076" s="3"/>
    </row>
    <row r="3077" spans="2:2">
      <c r="B3077" s="3"/>
    </row>
    <row r="3078" spans="2:2">
      <c r="B3078" s="3"/>
    </row>
    <row r="3079" spans="2:2">
      <c r="B3079" s="3"/>
    </row>
    <row r="3080" spans="2:2">
      <c r="B3080" s="3"/>
    </row>
    <row r="3081" spans="2:2">
      <c r="B3081" s="3"/>
    </row>
    <row r="3082" spans="2:2">
      <c r="B3082" s="3"/>
    </row>
    <row r="3083" spans="2:2">
      <c r="B3083" s="3"/>
    </row>
    <row r="3084" spans="2:2">
      <c r="B3084" s="3"/>
    </row>
    <row r="3085" spans="2:2">
      <c r="B3085" s="3"/>
    </row>
    <row r="3086" spans="2:2">
      <c r="B3086" s="3"/>
    </row>
    <row r="3087" spans="2:2">
      <c r="B3087" s="3"/>
    </row>
    <row r="3088" spans="2:2">
      <c r="B3088" s="3"/>
    </row>
    <row r="3089" spans="2:2">
      <c r="B3089" s="3"/>
    </row>
    <row r="3090" spans="2:2">
      <c r="B3090" s="3"/>
    </row>
    <row r="3091" spans="2:2">
      <c r="B3091" s="3"/>
    </row>
    <row r="3092" spans="2:2">
      <c r="B3092" s="3"/>
    </row>
    <row r="3093" spans="2:2">
      <c r="B3093" s="3"/>
    </row>
    <row r="3094" spans="2:2">
      <c r="B3094" s="3"/>
    </row>
    <row r="3095" spans="2:2">
      <c r="B3095" s="3"/>
    </row>
    <row r="3096" spans="2:2">
      <c r="B3096" s="3"/>
    </row>
    <row r="3097" spans="2:2">
      <c r="B3097" s="3"/>
    </row>
    <row r="3098" spans="2:2">
      <c r="B3098" s="3"/>
    </row>
    <row r="3099" spans="2:2">
      <c r="B3099" s="3"/>
    </row>
    <row r="3100" spans="2:2">
      <c r="B3100" s="3"/>
    </row>
    <row r="3101" spans="2:2">
      <c r="B3101" s="3"/>
    </row>
    <row r="3102" spans="2:2">
      <c r="B3102" s="3"/>
    </row>
    <row r="3103" spans="2:2">
      <c r="B3103" s="3"/>
    </row>
    <row r="3104" spans="2:2">
      <c r="B3104" s="3"/>
    </row>
    <row r="3105" spans="2:2">
      <c r="B3105" s="3"/>
    </row>
    <row r="3106" spans="2:2">
      <c r="B3106" s="3"/>
    </row>
    <row r="3107" spans="2:2">
      <c r="B3107" s="3"/>
    </row>
    <row r="3108" spans="2:2">
      <c r="B3108" s="3"/>
    </row>
    <row r="3109" spans="2:2">
      <c r="B3109" s="3"/>
    </row>
    <row r="3110" spans="2:2">
      <c r="B3110" s="3"/>
    </row>
    <row r="3111" spans="2:2">
      <c r="B3111" s="3"/>
    </row>
    <row r="3112" spans="2:2">
      <c r="B3112" s="3"/>
    </row>
    <row r="3113" spans="2:2">
      <c r="B3113" s="3"/>
    </row>
    <row r="3114" spans="2:2">
      <c r="B3114" s="3"/>
    </row>
    <row r="3115" spans="2:2">
      <c r="B3115" s="3"/>
    </row>
    <row r="3116" spans="2:2">
      <c r="B3116" s="3"/>
    </row>
    <row r="3117" spans="2:2">
      <c r="B3117" s="3"/>
    </row>
    <row r="3118" spans="2:2">
      <c r="B3118" s="3"/>
    </row>
    <row r="3119" spans="2:2">
      <c r="B3119" s="3"/>
    </row>
    <row r="3120" spans="2:2">
      <c r="B3120" s="3"/>
    </row>
    <row r="3121" spans="2:2">
      <c r="B3121" s="3"/>
    </row>
    <row r="3122" spans="2:2">
      <c r="B3122" s="3"/>
    </row>
    <row r="3123" spans="2:2">
      <c r="B3123" s="3"/>
    </row>
    <row r="3124" spans="2:2">
      <c r="B3124" s="3"/>
    </row>
    <row r="3125" spans="2:2">
      <c r="B3125" s="3"/>
    </row>
    <row r="3126" spans="2:2">
      <c r="B3126" s="3"/>
    </row>
    <row r="3127" spans="2:2">
      <c r="B3127" s="3"/>
    </row>
    <row r="3128" spans="2:2">
      <c r="B3128" s="3"/>
    </row>
    <row r="3129" spans="2:2">
      <c r="B3129" s="3"/>
    </row>
    <row r="3130" spans="2:2">
      <c r="B3130" s="3"/>
    </row>
    <row r="3131" spans="2:2">
      <c r="B3131" s="3"/>
    </row>
    <row r="3132" spans="2:2">
      <c r="B3132" s="3"/>
    </row>
    <row r="3133" spans="2:2">
      <c r="B3133" s="3"/>
    </row>
    <row r="3134" spans="2:2">
      <c r="B3134" s="3"/>
    </row>
    <row r="3135" spans="2:2">
      <c r="B3135" s="3"/>
    </row>
    <row r="3136" spans="2:2">
      <c r="B3136" s="3"/>
    </row>
    <row r="3137" spans="2:2">
      <c r="B3137" s="3"/>
    </row>
    <row r="3138" spans="2:2">
      <c r="B3138" s="3"/>
    </row>
    <row r="3139" spans="2:2">
      <c r="B3139" s="3"/>
    </row>
    <row r="3140" spans="2:2">
      <c r="B3140" s="3"/>
    </row>
    <row r="3141" spans="2:2">
      <c r="B3141" s="3"/>
    </row>
    <row r="3142" spans="2:2">
      <c r="B3142" s="3"/>
    </row>
    <row r="3143" spans="2:2">
      <c r="B3143" s="3"/>
    </row>
    <row r="3144" spans="2:2">
      <c r="B3144" s="3"/>
    </row>
    <row r="3145" spans="2:2">
      <c r="B3145" s="3"/>
    </row>
    <row r="3146" spans="2:2">
      <c r="B3146" s="3"/>
    </row>
    <row r="3147" spans="2:2">
      <c r="B3147" s="3"/>
    </row>
    <row r="3148" spans="2:2">
      <c r="B3148" s="3"/>
    </row>
    <row r="3149" spans="2:2">
      <c r="B3149" s="3"/>
    </row>
    <row r="3150" spans="2:2">
      <c r="B3150" s="3"/>
    </row>
    <row r="3151" spans="2:2">
      <c r="B3151" s="3"/>
    </row>
    <row r="3152" spans="2:2">
      <c r="B3152" s="3"/>
    </row>
    <row r="3153" spans="2:2">
      <c r="B3153" s="3"/>
    </row>
    <row r="3154" spans="2:2">
      <c r="B3154" s="3"/>
    </row>
    <row r="3155" spans="2:2">
      <c r="B3155" s="3"/>
    </row>
    <row r="3156" spans="2:2">
      <c r="B3156" s="3"/>
    </row>
    <row r="3157" spans="2:2">
      <c r="B3157" s="3"/>
    </row>
    <row r="3158" spans="2:2">
      <c r="B3158" s="3"/>
    </row>
    <row r="3159" spans="2:2">
      <c r="B3159" s="3"/>
    </row>
    <row r="3160" spans="2:2">
      <c r="B3160" s="3"/>
    </row>
    <row r="3161" spans="2:2">
      <c r="B3161" s="3"/>
    </row>
    <row r="3162" spans="2:2">
      <c r="B3162" s="3"/>
    </row>
    <row r="3163" spans="2:2">
      <c r="B3163" s="3"/>
    </row>
    <row r="3164" spans="2:2">
      <c r="B3164" s="3"/>
    </row>
    <row r="3165" spans="2:2">
      <c r="B3165" s="3"/>
    </row>
    <row r="3166" spans="2:2">
      <c r="B3166" s="3"/>
    </row>
    <row r="3167" spans="2:2">
      <c r="B3167" s="3"/>
    </row>
    <row r="3168" spans="2:2">
      <c r="B3168" s="3"/>
    </row>
    <row r="3169" spans="2:2">
      <c r="B3169" s="3"/>
    </row>
    <row r="3170" spans="2:2">
      <c r="B3170" s="3"/>
    </row>
    <row r="3171" spans="2:2">
      <c r="B3171" s="3"/>
    </row>
    <row r="3172" spans="2:2">
      <c r="B3172" s="3"/>
    </row>
    <row r="3173" spans="2:2">
      <c r="B3173" s="3"/>
    </row>
    <row r="3174" spans="2:2">
      <c r="B3174" s="3"/>
    </row>
    <row r="3175" spans="2:2">
      <c r="B3175" s="3"/>
    </row>
    <row r="3176" spans="2:2">
      <c r="B3176" s="3"/>
    </row>
    <row r="3177" spans="2:2">
      <c r="B3177" s="3"/>
    </row>
    <row r="3178" spans="2:2">
      <c r="B3178" s="3"/>
    </row>
    <row r="3179" spans="2:2">
      <c r="B3179" s="3"/>
    </row>
    <row r="3180" spans="2:2">
      <c r="B3180" s="3"/>
    </row>
    <row r="3181" spans="2:2">
      <c r="B3181" s="3"/>
    </row>
    <row r="3182" spans="2:2">
      <c r="B3182" s="3"/>
    </row>
    <row r="3183" spans="2:2">
      <c r="B3183" s="3"/>
    </row>
    <row r="3184" spans="2:2">
      <c r="B3184" s="3"/>
    </row>
    <row r="3185" spans="2:2">
      <c r="B3185" s="3"/>
    </row>
    <row r="3186" spans="2:2">
      <c r="B3186" s="3"/>
    </row>
    <row r="3187" spans="2:2">
      <c r="B3187" s="3"/>
    </row>
    <row r="3188" spans="2:2">
      <c r="B3188" s="3"/>
    </row>
    <row r="3189" spans="2:2">
      <c r="B3189" s="3"/>
    </row>
    <row r="3190" spans="2:2">
      <c r="B3190" s="3"/>
    </row>
    <row r="3191" spans="2:2">
      <c r="B3191" s="3"/>
    </row>
    <row r="3192" spans="2:2">
      <c r="B3192" s="3"/>
    </row>
    <row r="3193" spans="2:2">
      <c r="B3193" s="3"/>
    </row>
    <row r="3194" spans="2:2">
      <c r="B3194" s="3"/>
    </row>
    <row r="3195" spans="2:2">
      <c r="B3195" s="3"/>
    </row>
    <row r="3196" spans="2:2">
      <c r="B3196" s="3"/>
    </row>
    <row r="3197" spans="2:2">
      <c r="B3197" s="3"/>
    </row>
    <row r="3198" spans="2:2">
      <c r="B3198" s="3"/>
    </row>
    <row r="3199" spans="2:2">
      <c r="B3199" s="3"/>
    </row>
    <row r="3200" spans="2:2">
      <c r="B3200" s="3"/>
    </row>
    <row r="3201" spans="2:2">
      <c r="B3201" s="3"/>
    </row>
    <row r="3202" spans="2:2">
      <c r="B3202" s="3"/>
    </row>
    <row r="3203" spans="2:2">
      <c r="B3203" s="3"/>
    </row>
    <row r="3204" spans="2:2">
      <c r="B3204" s="3"/>
    </row>
    <row r="3205" spans="2:2">
      <c r="B3205" s="3"/>
    </row>
    <row r="3206" spans="2:2">
      <c r="B3206" s="3"/>
    </row>
    <row r="3207" spans="2:2">
      <c r="B3207" s="3"/>
    </row>
    <row r="3208" spans="2:2">
      <c r="B3208" s="3"/>
    </row>
    <row r="3209" spans="2:2">
      <c r="B3209" s="3"/>
    </row>
    <row r="3210" spans="2:2">
      <c r="B3210" s="3"/>
    </row>
    <row r="3211" spans="2:2">
      <c r="B3211" s="3"/>
    </row>
    <row r="3212" spans="2:2">
      <c r="B3212" s="3"/>
    </row>
    <row r="3213" spans="2:2">
      <c r="B3213" s="3"/>
    </row>
    <row r="3214" spans="2:2">
      <c r="B3214" s="3"/>
    </row>
    <row r="3215" spans="2:2">
      <c r="B3215" s="3"/>
    </row>
    <row r="3216" spans="2:2">
      <c r="B3216" s="3"/>
    </row>
    <row r="3217" spans="2:2">
      <c r="B3217" s="3"/>
    </row>
    <row r="3218" spans="2:2">
      <c r="B3218" s="3"/>
    </row>
    <row r="3219" spans="2:2">
      <c r="B3219" s="3"/>
    </row>
    <row r="3220" spans="2:2">
      <c r="B3220" s="3"/>
    </row>
    <row r="3221" spans="2:2">
      <c r="B3221" s="3"/>
    </row>
    <row r="3222" spans="2:2">
      <c r="B3222" s="3"/>
    </row>
    <row r="3223" spans="2:2">
      <c r="B3223" s="3"/>
    </row>
    <row r="3224" spans="2:2">
      <c r="B3224" s="3"/>
    </row>
    <row r="3225" spans="2:2">
      <c r="B3225" s="3"/>
    </row>
    <row r="3226" spans="2:2">
      <c r="B3226" s="3"/>
    </row>
    <row r="3227" spans="2:2">
      <c r="B3227" s="3"/>
    </row>
    <row r="3228" spans="2:2">
      <c r="B3228" s="3"/>
    </row>
    <row r="3229" spans="2:2">
      <c r="B3229" s="3"/>
    </row>
    <row r="3230" spans="2:2">
      <c r="B3230" s="3"/>
    </row>
    <row r="3231" spans="2:2">
      <c r="B3231" s="3"/>
    </row>
    <row r="3232" spans="2:2">
      <c r="B3232" s="3"/>
    </row>
    <row r="3233" spans="2:2">
      <c r="B3233" s="3"/>
    </row>
    <row r="3234" spans="2:2">
      <c r="B3234" s="3"/>
    </row>
    <row r="3235" spans="2:2">
      <c r="B3235" s="3"/>
    </row>
    <row r="3236" spans="2:2">
      <c r="B3236" s="3"/>
    </row>
    <row r="3237" spans="2:2">
      <c r="B3237" s="3"/>
    </row>
    <row r="3238" spans="2:2">
      <c r="B3238" s="3"/>
    </row>
    <row r="3239" spans="2:2">
      <c r="B3239" s="3"/>
    </row>
    <row r="3240" spans="2:2">
      <c r="B3240" s="3"/>
    </row>
    <row r="3241" spans="2:2">
      <c r="B3241" s="3"/>
    </row>
    <row r="3242" spans="2:2">
      <c r="B3242" s="3"/>
    </row>
    <row r="3243" spans="2:2">
      <c r="B3243" s="3"/>
    </row>
    <row r="3244" spans="2:2">
      <c r="B3244" s="3"/>
    </row>
    <row r="3245" spans="2:2">
      <c r="B3245" s="3"/>
    </row>
    <row r="3246" spans="2:2">
      <c r="B3246" s="3"/>
    </row>
    <row r="3247" spans="2:2">
      <c r="B3247" s="3"/>
    </row>
    <row r="3248" spans="2:2">
      <c r="B3248" s="3"/>
    </row>
    <row r="3249" spans="2:2">
      <c r="B3249" s="3"/>
    </row>
    <row r="3250" spans="2:2">
      <c r="B3250" s="3"/>
    </row>
    <row r="3251" spans="2:2">
      <c r="B3251" s="3"/>
    </row>
    <row r="3252" spans="2:2">
      <c r="B3252" s="3"/>
    </row>
    <row r="3253" spans="2:2">
      <c r="B3253" s="3"/>
    </row>
    <row r="3254" spans="2:2">
      <c r="B3254" s="3"/>
    </row>
    <row r="3255" spans="2:2">
      <c r="B3255" s="3"/>
    </row>
    <row r="3256" spans="2:2">
      <c r="B3256" s="3"/>
    </row>
    <row r="3257" spans="2:2">
      <c r="B3257" s="3"/>
    </row>
    <row r="3258" spans="2:2">
      <c r="B3258" s="3"/>
    </row>
    <row r="3259" spans="2:2">
      <c r="B3259" s="3"/>
    </row>
    <row r="3260" spans="2:2">
      <c r="B3260" s="3"/>
    </row>
    <row r="3261" spans="2:2">
      <c r="B3261" s="3"/>
    </row>
    <row r="3262" spans="2:2">
      <c r="B3262" s="3"/>
    </row>
    <row r="3263" spans="2:2">
      <c r="B3263" s="3"/>
    </row>
    <row r="3264" spans="2:2">
      <c r="B3264" s="3"/>
    </row>
    <row r="3265" spans="2:2">
      <c r="B3265" s="3"/>
    </row>
    <row r="3266" spans="2:2">
      <c r="B3266" s="3"/>
    </row>
    <row r="3267" spans="2:2">
      <c r="B3267" s="3"/>
    </row>
    <row r="3268" spans="2:2">
      <c r="B3268" s="3"/>
    </row>
    <row r="3269" spans="2:2">
      <c r="B3269" s="3"/>
    </row>
    <row r="3270" spans="2:2">
      <c r="B3270" s="3"/>
    </row>
    <row r="3271" spans="2:2">
      <c r="B3271" s="3"/>
    </row>
    <row r="3272" spans="2:2">
      <c r="B3272" s="3"/>
    </row>
    <row r="3273" spans="2:2">
      <c r="B3273" s="3"/>
    </row>
    <row r="3274" spans="2:2">
      <c r="B3274" s="3"/>
    </row>
    <row r="3275" spans="2:2">
      <c r="B3275" s="3"/>
    </row>
    <row r="3276" spans="2:2">
      <c r="B3276" s="3"/>
    </row>
    <row r="3277" spans="2:2">
      <c r="B3277" s="3"/>
    </row>
    <row r="3278" spans="2:2">
      <c r="B3278" s="3"/>
    </row>
    <row r="3279" spans="2:2">
      <c r="B3279" s="3"/>
    </row>
    <row r="3280" spans="2:2">
      <c r="B3280" s="3"/>
    </row>
    <row r="3281" spans="2:2">
      <c r="B3281" s="3"/>
    </row>
    <row r="3282" spans="2:2">
      <c r="B3282" s="3"/>
    </row>
    <row r="3283" spans="2:2">
      <c r="B3283" s="3"/>
    </row>
    <row r="3284" spans="2:2">
      <c r="B3284" s="3"/>
    </row>
    <row r="3285" spans="2:2">
      <c r="B3285" s="3"/>
    </row>
    <row r="3286" spans="2:2">
      <c r="B3286" s="3"/>
    </row>
    <row r="3287" spans="2:2">
      <c r="B3287" s="3"/>
    </row>
    <row r="3288" spans="2:2">
      <c r="B3288" s="3"/>
    </row>
    <row r="3289" spans="2:2">
      <c r="B3289" s="3"/>
    </row>
    <row r="3290" spans="2:2">
      <c r="B3290" s="3"/>
    </row>
    <row r="3291" spans="2:2">
      <c r="B3291" s="3"/>
    </row>
    <row r="3292" spans="2:2">
      <c r="B3292" s="3"/>
    </row>
    <row r="3293" spans="2:2">
      <c r="B3293" s="3"/>
    </row>
    <row r="3294" spans="2:2">
      <c r="B3294" s="3"/>
    </row>
    <row r="3295" spans="2:2">
      <c r="B3295" s="3"/>
    </row>
    <row r="3296" spans="2:2">
      <c r="B3296" s="3"/>
    </row>
    <row r="3297" spans="2:2">
      <c r="B3297" s="3"/>
    </row>
    <row r="3298" spans="2:2">
      <c r="B3298" s="3"/>
    </row>
    <row r="3299" spans="2:2">
      <c r="B3299" s="3"/>
    </row>
    <row r="3300" spans="2:2">
      <c r="B3300" s="3"/>
    </row>
    <row r="3301" spans="2:2">
      <c r="B3301" s="3"/>
    </row>
    <row r="3302" spans="2:2">
      <c r="B3302" s="3"/>
    </row>
    <row r="3303" spans="2:2">
      <c r="B3303" s="3"/>
    </row>
    <row r="3304" spans="2:2">
      <c r="B3304" s="3"/>
    </row>
    <row r="3305" spans="2:2">
      <c r="B3305" s="3"/>
    </row>
    <row r="3306" spans="2:2">
      <c r="B3306" s="3"/>
    </row>
    <row r="3307" spans="2:2">
      <c r="B3307" s="3"/>
    </row>
    <row r="3308" spans="2:2">
      <c r="B3308" s="3"/>
    </row>
    <row r="3309" spans="2:2">
      <c r="B3309" s="3"/>
    </row>
    <row r="3310" spans="2:2">
      <c r="B3310" s="3"/>
    </row>
    <row r="3311" spans="2:2">
      <c r="B3311" s="3"/>
    </row>
    <row r="3312" spans="2:2">
      <c r="B3312" s="3"/>
    </row>
    <row r="3313" spans="2:2">
      <c r="B3313" s="3"/>
    </row>
    <row r="3314" spans="2:2">
      <c r="B3314" s="3"/>
    </row>
    <row r="3315" spans="2:2">
      <c r="B3315" s="3"/>
    </row>
    <row r="3316" spans="2:2">
      <c r="B3316" s="3"/>
    </row>
    <row r="3317" spans="2:2">
      <c r="B3317" s="3"/>
    </row>
    <row r="3318" spans="2:2">
      <c r="B3318" s="3"/>
    </row>
    <row r="3319" spans="2:2">
      <c r="B3319" s="3"/>
    </row>
    <row r="3320" spans="2:2">
      <c r="B3320" s="3"/>
    </row>
    <row r="3321" spans="2:2">
      <c r="B3321" s="3"/>
    </row>
    <row r="3322" spans="2:2">
      <c r="B3322" s="3"/>
    </row>
    <row r="3323" spans="2:2">
      <c r="B3323" s="3"/>
    </row>
    <row r="3324" spans="2:2">
      <c r="B3324" s="3"/>
    </row>
    <row r="3325" spans="2:2">
      <c r="B3325" s="3"/>
    </row>
    <row r="3326" spans="2:2">
      <c r="B3326" s="3"/>
    </row>
    <row r="3327" spans="2:2">
      <c r="B3327" s="3"/>
    </row>
    <row r="3328" spans="2:2">
      <c r="B3328" s="3"/>
    </row>
    <row r="3329" spans="2:2">
      <c r="B3329" s="3"/>
    </row>
    <row r="3330" spans="2:2">
      <c r="B3330" s="3"/>
    </row>
    <row r="3331" spans="2:2">
      <c r="B3331" s="3"/>
    </row>
    <row r="3332" spans="2:2">
      <c r="B3332" s="3"/>
    </row>
    <row r="3333" spans="2:2">
      <c r="B3333" s="3"/>
    </row>
    <row r="3334" spans="2:2">
      <c r="B3334" s="3"/>
    </row>
    <row r="3335" spans="2:2">
      <c r="B3335" s="3"/>
    </row>
    <row r="3336" spans="2:2">
      <c r="B3336" s="3"/>
    </row>
    <row r="3337" spans="2:2">
      <c r="B3337" s="3"/>
    </row>
    <row r="3338" spans="2:2">
      <c r="B3338" s="3"/>
    </row>
    <row r="3339" spans="2:2">
      <c r="B3339" s="3"/>
    </row>
    <row r="3340" spans="2:2">
      <c r="B3340" s="3"/>
    </row>
    <row r="3341" spans="2:2">
      <c r="B3341" s="3"/>
    </row>
    <row r="3342" spans="2:2">
      <c r="B3342" s="3"/>
    </row>
    <row r="3343" spans="2:2">
      <c r="B3343" s="3"/>
    </row>
    <row r="3344" spans="2:2">
      <c r="B3344" s="3"/>
    </row>
    <row r="3345" spans="2:2">
      <c r="B3345" s="3"/>
    </row>
    <row r="3346" spans="2:2">
      <c r="B3346" s="3"/>
    </row>
    <row r="3347" spans="2:2">
      <c r="B3347" s="3"/>
    </row>
    <row r="3348" spans="2:2">
      <c r="B3348" s="3"/>
    </row>
    <row r="3349" spans="2:2">
      <c r="B3349" s="3"/>
    </row>
    <row r="3350" spans="2:2">
      <c r="B3350" s="3"/>
    </row>
    <row r="3351" spans="2:2">
      <c r="B3351" s="3"/>
    </row>
    <row r="3352" spans="2:2">
      <c r="B3352" s="3"/>
    </row>
    <row r="3353" spans="2:2">
      <c r="B3353" s="3"/>
    </row>
    <row r="3354" spans="2:2">
      <c r="B3354" s="3"/>
    </row>
    <row r="3355" spans="2:2">
      <c r="B3355" s="3"/>
    </row>
    <row r="3356" spans="2:2">
      <c r="B3356" s="3"/>
    </row>
    <row r="3357" spans="2:2">
      <c r="B3357" s="3"/>
    </row>
    <row r="3358" spans="2:2">
      <c r="B3358" s="3"/>
    </row>
    <row r="3359" spans="2:2">
      <c r="B3359" s="3"/>
    </row>
    <row r="3360" spans="2:2">
      <c r="B3360" s="3"/>
    </row>
    <row r="3361" spans="2:2">
      <c r="B3361" s="3"/>
    </row>
    <row r="3362" spans="2:2">
      <c r="B3362" s="3"/>
    </row>
    <row r="3363" spans="2:2">
      <c r="B3363" s="3"/>
    </row>
    <row r="3364" spans="2:2">
      <c r="B3364" s="3"/>
    </row>
    <row r="3365" spans="2:2">
      <c r="B3365" s="3"/>
    </row>
    <row r="3366" spans="2:2">
      <c r="B3366" s="3"/>
    </row>
    <row r="3367" spans="2:2">
      <c r="B3367" s="3"/>
    </row>
    <row r="3368" spans="2:2">
      <c r="B3368" s="3"/>
    </row>
    <row r="3369" spans="2:2">
      <c r="B3369" s="3"/>
    </row>
    <row r="3370" spans="2:2">
      <c r="B3370" s="3"/>
    </row>
    <row r="3371" spans="2:2">
      <c r="B3371" s="3"/>
    </row>
    <row r="3372" spans="2:2">
      <c r="B3372" s="3"/>
    </row>
    <row r="3373" spans="2:2">
      <c r="B3373" s="3"/>
    </row>
    <row r="3374" spans="2:2">
      <c r="B3374" s="3"/>
    </row>
    <row r="3375" spans="2:2">
      <c r="B3375" s="3"/>
    </row>
    <row r="3376" spans="2:2">
      <c r="B3376" s="3"/>
    </row>
    <row r="3377" spans="2:2">
      <c r="B3377" s="3"/>
    </row>
    <row r="3378" spans="2:2">
      <c r="B3378" s="3"/>
    </row>
    <row r="3379" spans="2:2">
      <c r="B3379" s="3"/>
    </row>
    <row r="3380" spans="2:2">
      <c r="B3380" s="3"/>
    </row>
    <row r="3381" spans="2:2">
      <c r="B3381" s="3"/>
    </row>
    <row r="3382" spans="2:2">
      <c r="B3382" s="3"/>
    </row>
    <row r="3383" spans="2:2">
      <c r="B3383" s="3"/>
    </row>
    <row r="3384" spans="2:2">
      <c r="B3384" s="3"/>
    </row>
    <row r="3385" spans="2:2">
      <c r="B3385" s="3"/>
    </row>
    <row r="3386" spans="2:2">
      <c r="B3386" s="3"/>
    </row>
    <row r="3387" spans="2:2">
      <c r="B3387" s="3"/>
    </row>
    <row r="3388" spans="2:2">
      <c r="B3388" s="3"/>
    </row>
    <row r="3389" spans="2:2">
      <c r="B3389" s="3"/>
    </row>
    <row r="3390" spans="2:2">
      <c r="B3390" s="3"/>
    </row>
    <row r="3391" spans="2:2">
      <c r="B3391" s="3"/>
    </row>
    <row r="3392" spans="2:2">
      <c r="B3392" s="3"/>
    </row>
    <row r="3393" spans="2:2">
      <c r="B3393" s="3"/>
    </row>
    <row r="3394" spans="2:2">
      <c r="B3394" s="3"/>
    </row>
    <row r="3395" spans="2:2">
      <c r="B3395" s="3"/>
    </row>
    <row r="3396" spans="2:2">
      <c r="B3396" s="3"/>
    </row>
    <row r="3397" spans="2:2">
      <c r="B3397" s="3"/>
    </row>
    <row r="3398" spans="2:2">
      <c r="B3398" s="3"/>
    </row>
    <row r="3399" spans="2:2">
      <c r="B3399" s="3"/>
    </row>
    <row r="3400" spans="2:2">
      <c r="B3400" s="3"/>
    </row>
    <row r="3401" spans="2:2">
      <c r="B3401" s="3"/>
    </row>
    <row r="3402" spans="2:2">
      <c r="B3402" s="3"/>
    </row>
    <row r="3403" spans="2:2">
      <c r="B3403" s="3"/>
    </row>
    <row r="3404" spans="2:2">
      <c r="B3404" s="3"/>
    </row>
    <row r="3405" spans="2:2">
      <c r="B3405" s="3"/>
    </row>
    <row r="3406" spans="2:2">
      <c r="B3406" s="3"/>
    </row>
    <row r="3407" spans="2:2">
      <c r="B3407" s="3"/>
    </row>
    <row r="3408" spans="2:2">
      <c r="B3408" s="3"/>
    </row>
    <row r="3409" spans="2:2">
      <c r="B3409" s="3"/>
    </row>
    <row r="3410" spans="2:2">
      <c r="B3410" s="3"/>
    </row>
    <row r="3411" spans="2:2">
      <c r="B3411" s="3"/>
    </row>
    <row r="3412" spans="2:2">
      <c r="B3412" s="3"/>
    </row>
    <row r="3413" spans="2:2">
      <c r="B3413" s="3"/>
    </row>
    <row r="3414" spans="2:2">
      <c r="B3414" s="3"/>
    </row>
    <row r="3415" spans="2:2">
      <c r="B3415" s="3"/>
    </row>
    <row r="3416" spans="2:2">
      <c r="B3416" s="3"/>
    </row>
    <row r="3417" spans="2:2">
      <c r="B3417" s="3"/>
    </row>
    <row r="3418" spans="2:2">
      <c r="B3418" s="3"/>
    </row>
    <row r="3419" spans="2:2">
      <c r="B3419" s="3"/>
    </row>
    <row r="3420" spans="2:2">
      <c r="B3420" s="3"/>
    </row>
    <row r="3421" spans="2:2">
      <c r="B3421" s="3"/>
    </row>
    <row r="3422" spans="2:2">
      <c r="B3422" s="3"/>
    </row>
    <row r="3423" spans="2:2">
      <c r="B3423" s="3"/>
    </row>
    <row r="3424" spans="2:2">
      <c r="B3424" s="3"/>
    </row>
    <row r="3425" spans="2:2">
      <c r="B3425" s="3"/>
    </row>
    <row r="3426" spans="2:2">
      <c r="B3426" s="3"/>
    </row>
    <row r="3427" spans="2:2">
      <c r="B3427" s="3"/>
    </row>
    <row r="3428" spans="2:2">
      <c r="B3428" s="3"/>
    </row>
    <row r="3429" spans="2:2">
      <c r="B3429" s="3"/>
    </row>
    <row r="3430" spans="2:2">
      <c r="B3430" s="3"/>
    </row>
    <row r="3431" spans="2:2">
      <c r="B3431" s="3"/>
    </row>
    <row r="3432" spans="2:2">
      <c r="B3432" s="3"/>
    </row>
    <row r="3433" spans="2:2">
      <c r="B3433" s="3"/>
    </row>
    <row r="3434" spans="2:2">
      <c r="B3434" s="3"/>
    </row>
    <row r="3435" spans="2:2">
      <c r="B3435" s="3"/>
    </row>
    <row r="3436" spans="2:2">
      <c r="B3436" s="3"/>
    </row>
    <row r="3437" spans="2:2">
      <c r="B3437" s="3"/>
    </row>
    <row r="3438" spans="2:2">
      <c r="B3438" s="3"/>
    </row>
    <row r="3439" spans="2:2">
      <c r="B3439" s="3"/>
    </row>
    <row r="3440" spans="2:2">
      <c r="B3440" s="3"/>
    </row>
    <row r="3441" spans="2:2">
      <c r="B3441" s="3"/>
    </row>
    <row r="3442" spans="2:2">
      <c r="B3442" s="3"/>
    </row>
    <row r="3443" spans="2:2">
      <c r="B3443" s="3"/>
    </row>
    <row r="3444" spans="2:2">
      <c r="B3444" s="3"/>
    </row>
    <row r="3445" spans="2:2">
      <c r="B3445" s="3"/>
    </row>
    <row r="3446" spans="2:2">
      <c r="B3446" s="3"/>
    </row>
    <row r="3447" spans="2:2">
      <c r="B3447" s="3"/>
    </row>
    <row r="3448" spans="2:2">
      <c r="B3448" s="3"/>
    </row>
    <row r="3449" spans="2:2">
      <c r="B3449" s="3"/>
    </row>
    <row r="3450" spans="2:2">
      <c r="B3450" s="3"/>
    </row>
    <row r="3451" spans="2:2">
      <c r="B3451" s="3"/>
    </row>
    <row r="3452" spans="2:2">
      <c r="B3452" s="3"/>
    </row>
    <row r="3453" spans="2:2">
      <c r="B3453" s="3"/>
    </row>
    <row r="3454" spans="2:2">
      <c r="B3454" s="3"/>
    </row>
    <row r="3455" spans="2:2">
      <c r="B3455" s="3"/>
    </row>
    <row r="3456" spans="2:2">
      <c r="B3456" s="3"/>
    </row>
    <row r="3457" spans="2:2">
      <c r="B3457" s="3"/>
    </row>
    <row r="3458" spans="2:2">
      <c r="B3458" s="3"/>
    </row>
    <row r="3459" spans="2:2">
      <c r="B3459" s="3"/>
    </row>
    <row r="3460" spans="2:2">
      <c r="B3460" s="3"/>
    </row>
    <row r="3461" spans="2:2">
      <c r="B3461" s="3"/>
    </row>
    <row r="3462" spans="2:2">
      <c r="B3462" s="3"/>
    </row>
    <row r="3463" spans="2:2">
      <c r="B3463" s="3"/>
    </row>
    <row r="3464" spans="2:2">
      <c r="B3464" s="3"/>
    </row>
    <row r="3465" spans="2:2">
      <c r="B3465" s="3"/>
    </row>
    <row r="3466" spans="2:2">
      <c r="B3466" s="3"/>
    </row>
    <row r="3467" spans="2:2">
      <c r="B3467" s="3"/>
    </row>
    <row r="3468" spans="2:2">
      <c r="B3468" s="3"/>
    </row>
    <row r="3469" spans="2:2">
      <c r="B3469" s="3"/>
    </row>
    <row r="3470" spans="2:2">
      <c r="B3470" s="3"/>
    </row>
    <row r="3471" spans="2:2">
      <c r="B3471" s="3"/>
    </row>
    <row r="3472" spans="2:2">
      <c r="B3472" s="3"/>
    </row>
    <row r="3473" spans="2:2">
      <c r="B3473" s="3"/>
    </row>
    <row r="3474" spans="2:2">
      <c r="B3474" s="3"/>
    </row>
    <row r="3475" spans="2:2">
      <c r="B3475" s="3"/>
    </row>
    <row r="3476" spans="2:2">
      <c r="B3476" s="3"/>
    </row>
    <row r="3477" spans="2:2">
      <c r="B3477" s="3"/>
    </row>
    <row r="3478" spans="2:2">
      <c r="B3478" s="3"/>
    </row>
    <row r="3479" spans="2:2">
      <c r="B3479" s="3"/>
    </row>
    <row r="3480" spans="2:2">
      <c r="B3480" s="3"/>
    </row>
    <row r="3481" spans="2:2">
      <c r="B3481" s="3"/>
    </row>
    <row r="3482" spans="2:2">
      <c r="B3482" s="3"/>
    </row>
    <row r="3483" spans="2:2">
      <c r="B3483" s="3"/>
    </row>
    <row r="3484" spans="2:2">
      <c r="B3484" s="3"/>
    </row>
    <row r="3485" spans="2:2">
      <c r="B3485" s="3"/>
    </row>
    <row r="3486" spans="2:2">
      <c r="B3486" s="3"/>
    </row>
    <row r="3487" spans="2:2">
      <c r="B3487" s="3"/>
    </row>
    <row r="3488" spans="2:2">
      <c r="B3488" s="3"/>
    </row>
    <row r="3489" spans="2:2">
      <c r="B3489" s="3"/>
    </row>
    <row r="3490" spans="2:2">
      <c r="B3490" s="3"/>
    </row>
    <row r="3491" spans="2:2">
      <c r="B3491" s="3"/>
    </row>
    <row r="3492" spans="2:2">
      <c r="B3492" s="3"/>
    </row>
    <row r="3493" spans="2:2">
      <c r="B3493" s="3"/>
    </row>
    <row r="3494" spans="2:2">
      <c r="B3494" s="3"/>
    </row>
    <row r="3495" spans="2:2">
      <c r="B3495" s="3"/>
    </row>
    <row r="3496" spans="2:2">
      <c r="B3496" s="3"/>
    </row>
    <row r="3497" spans="2:2">
      <c r="B3497" s="3"/>
    </row>
    <row r="3498" spans="2:2">
      <c r="B3498" s="3"/>
    </row>
    <row r="3499" spans="2:2">
      <c r="B3499" s="3"/>
    </row>
    <row r="3500" spans="2:2">
      <c r="B3500" s="3"/>
    </row>
    <row r="3501" spans="2:2">
      <c r="B3501" s="3"/>
    </row>
    <row r="3502" spans="2:2">
      <c r="B3502" s="3"/>
    </row>
    <row r="3503" spans="2:2">
      <c r="B3503" s="3"/>
    </row>
    <row r="3504" spans="2:2">
      <c r="B3504" s="3"/>
    </row>
    <row r="3505" spans="2:2">
      <c r="B3505" s="3"/>
    </row>
    <row r="3506" spans="2:2">
      <c r="B3506" s="3"/>
    </row>
    <row r="3507" spans="2:2">
      <c r="B3507" s="3"/>
    </row>
    <row r="3508" spans="2:2">
      <c r="B3508" s="3"/>
    </row>
    <row r="3509" spans="2:2">
      <c r="B3509" s="3"/>
    </row>
    <row r="3510" spans="2:2">
      <c r="B3510" s="3"/>
    </row>
    <row r="3511" spans="2:2">
      <c r="B3511" s="3"/>
    </row>
    <row r="3512" spans="2:2">
      <c r="B3512" s="3"/>
    </row>
    <row r="3513" spans="2:2">
      <c r="B3513" s="3"/>
    </row>
    <row r="3514" spans="2:2">
      <c r="B3514" s="3"/>
    </row>
    <row r="3515" spans="2:2">
      <c r="B3515" s="3"/>
    </row>
    <row r="3516" spans="2:2">
      <c r="B3516" s="3"/>
    </row>
    <row r="3517" spans="2:2">
      <c r="B3517" s="3"/>
    </row>
    <row r="3518" spans="2:2">
      <c r="B3518" s="3"/>
    </row>
    <row r="3519" spans="2:2">
      <c r="B3519" s="3"/>
    </row>
    <row r="3520" spans="2:2">
      <c r="B3520" s="3"/>
    </row>
    <row r="3521" spans="2:2">
      <c r="B3521" s="3"/>
    </row>
    <row r="3522" spans="2:2">
      <c r="B3522" s="3"/>
    </row>
    <row r="3523" spans="2:2">
      <c r="B3523" s="3"/>
    </row>
    <row r="3524" spans="2:2">
      <c r="B3524" s="3"/>
    </row>
    <row r="3525" spans="2:2">
      <c r="B3525" s="3"/>
    </row>
    <row r="3526" spans="2:2">
      <c r="B3526" s="3"/>
    </row>
    <row r="3527" spans="2:2">
      <c r="B3527" s="3"/>
    </row>
    <row r="3528" spans="2:2">
      <c r="B3528" s="3"/>
    </row>
    <row r="3529" spans="2:2">
      <c r="B3529" s="3"/>
    </row>
    <row r="3530" spans="2:2">
      <c r="B3530" s="3"/>
    </row>
    <row r="3531" spans="2:2">
      <c r="B3531" s="3"/>
    </row>
    <row r="3532" spans="2:2">
      <c r="B3532" s="3"/>
    </row>
    <row r="3533" spans="2:2">
      <c r="B3533" s="3"/>
    </row>
    <row r="3534" spans="2:2">
      <c r="B3534" s="3"/>
    </row>
    <row r="3535" spans="2:2">
      <c r="B3535" s="3"/>
    </row>
    <row r="3536" spans="2:2">
      <c r="B3536" s="3"/>
    </row>
    <row r="3537" spans="2:2">
      <c r="B3537" s="3"/>
    </row>
    <row r="3538" spans="2:2">
      <c r="B3538" s="3"/>
    </row>
    <row r="3539" spans="2:2">
      <c r="B3539" s="3"/>
    </row>
    <row r="3540" spans="2:2">
      <c r="B3540" s="3"/>
    </row>
    <row r="3541" spans="2:2">
      <c r="B3541" s="3"/>
    </row>
    <row r="3542" spans="2:2">
      <c r="B3542" s="3"/>
    </row>
    <row r="3543" spans="2:2">
      <c r="B3543" s="3"/>
    </row>
    <row r="3544" spans="2:2">
      <c r="B3544" s="3"/>
    </row>
    <row r="3545" spans="2:2">
      <c r="B3545" s="3"/>
    </row>
    <row r="3546" spans="2:2">
      <c r="B3546" s="3"/>
    </row>
    <row r="3547" spans="2:2">
      <c r="B3547" s="3"/>
    </row>
    <row r="3548" spans="2:2">
      <c r="B3548" s="3"/>
    </row>
    <row r="3549" spans="2:2">
      <c r="B3549" s="3"/>
    </row>
    <row r="3550" spans="2:2">
      <c r="B3550" s="3"/>
    </row>
    <row r="3551" spans="2:2">
      <c r="B3551" s="3"/>
    </row>
    <row r="3552" spans="2:2">
      <c r="B3552" s="3"/>
    </row>
    <row r="3553" spans="2:2">
      <c r="B3553" s="3"/>
    </row>
    <row r="3554" spans="2:2">
      <c r="B3554" s="3"/>
    </row>
    <row r="3555" spans="2:2">
      <c r="B3555" s="3"/>
    </row>
    <row r="3556" spans="2:2">
      <c r="B3556" s="3"/>
    </row>
    <row r="3557" spans="2:2">
      <c r="B3557" s="3"/>
    </row>
    <row r="3558" spans="2:2">
      <c r="B3558" s="3"/>
    </row>
    <row r="3559" spans="2:2">
      <c r="B3559" s="3"/>
    </row>
    <row r="3560" spans="2:2">
      <c r="B3560" s="3"/>
    </row>
    <row r="3561" spans="2:2">
      <c r="B3561" s="3"/>
    </row>
    <row r="3562" spans="2:2">
      <c r="B3562" s="3"/>
    </row>
    <row r="3563" spans="2:2">
      <c r="B3563" s="3"/>
    </row>
    <row r="3564" spans="2:2">
      <c r="B3564" s="3"/>
    </row>
    <row r="3565" spans="2:2">
      <c r="B3565" s="3"/>
    </row>
    <row r="3566" spans="2:2">
      <c r="B3566" s="3"/>
    </row>
    <row r="3567" spans="2:2">
      <c r="B3567" s="3"/>
    </row>
    <row r="3568" spans="2:2">
      <c r="B3568" s="3"/>
    </row>
    <row r="3569" spans="2:2">
      <c r="B3569" s="3"/>
    </row>
    <row r="3570" spans="2:2">
      <c r="B3570" s="3"/>
    </row>
    <row r="3571" spans="2:2">
      <c r="B3571" s="3"/>
    </row>
    <row r="3572" spans="2:2">
      <c r="B3572" s="3"/>
    </row>
    <row r="3573" spans="2:2">
      <c r="B3573" s="3"/>
    </row>
    <row r="3574" spans="2:2">
      <c r="B3574" s="3"/>
    </row>
    <row r="3575" spans="2:2">
      <c r="B3575" s="3"/>
    </row>
    <row r="3576" spans="2:2">
      <c r="B3576" s="3"/>
    </row>
    <row r="3577" spans="2:2">
      <c r="B3577" s="3"/>
    </row>
    <row r="3578" spans="2:2">
      <c r="B3578" s="3"/>
    </row>
    <row r="3579" spans="2:2">
      <c r="B3579" s="3"/>
    </row>
    <row r="3580" spans="2:2">
      <c r="B3580" s="3"/>
    </row>
    <row r="3581" spans="2:2">
      <c r="B3581" s="3"/>
    </row>
    <row r="3582" spans="2:2">
      <c r="B3582" s="3"/>
    </row>
    <row r="3583" spans="2:2">
      <c r="B3583" s="3"/>
    </row>
    <row r="3584" spans="2:2">
      <c r="B3584" s="3"/>
    </row>
    <row r="3585" spans="2:2">
      <c r="B3585" s="3"/>
    </row>
    <row r="3586" spans="2:2">
      <c r="B3586" s="3"/>
    </row>
    <row r="3587" spans="2:2">
      <c r="B3587" s="3"/>
    </row>
    <row r="3588" spans="2:2">
      <c r="B3588" s="3"/>
    </row>
    <row r="3589" spans="2:2">
      <c r="B3589" s="3"/>
    </row>
    <row r="3590" spans="2:2">
      <c r="B3590" s="3"/>
    </row>
    <row r="3591" spans="2:2">
      <c r="B3591" s="3"/>
    </row>
    <row r="3592" spans="2:2">
      <c r="B3592" s="3"/>
    </row>
    <row r="3593" spans="2:2">
      <c r="B3593" s="3"/>
    </row>
    <row r="3594" spans="2:2">
      <c r="B3594" s="3"/>
    </row>
    <row r="3595" spans="2:2">
      <c r="B3595" s="3"/>
    </row>
    <row r="3596" spans="2:2">
      <c r="B3596" s="3"/>
    </row>
    <row r="3597" spans="2:2">
      <c r="B3597" s="3"/>
    </row>
    <row r="3598" spans="2:2">
      <c r="B3598" s="3"/>
    </row>
    <row r="3599" spans="2:2">
      <c r="B3599" s="3"/>
    </row>
    <row r="3600" spans="2:2">
      <c r="B3600" s="3"/>
    </row>
    <row r="3601" spans="2:2">
      <c r="B3601" s="3"/>
    </row>
    <row r="3602" spans="2:2">
      <c r="B3602" s="3"/>
    </row>
    <row r="3603" spans="2:2">
      <c r="B3603" s="3"/>
    </row>
    <row r="3604" spans="2:2">
      <c r="B3604" s="3"/>
    </row>
    <row r="3605" spans="2:2">
      <c r="B3605" s="3"/>
    </row>
    <row r="3606" spans="2:2">
      <c r="B3606" s="3"/>
    </row>
    <row r="3607" spans="2:2">
      <c r="B3607" s="3"/>
    </row>
    <row r="3608" spans="2:2">
      <c r="B3608" s="3"/>
    </row>
    <row r="3609" spans="2:2">
      <c r="B3609" s="3"/>
    </row>
    <row r="3610" spans="2:2">
      <c r="B3610" s="3"/>
    </row>
    <row r="3611" spans="2:2">
      <c r="B3611" s="3"/>
    </row>
    <row r="3612" spans="2:2">
      <c r="B3612" s="3"/>
    </row>
    <row r="3613" spans="2:2">
      <c r="B3613" s="3"/>
    </row>
    <row r="3614" spans="2:2">
      <c r="B3614" s="3"/>
    </row>
    <row r="3615" spans="2:2">
      <c r="B3615" s="3"/>
    </row>
    <row r="3616" spans="2:2">
      <c r="B3616" s="3"/>
    </row>
    <row r="3617" spans="2:2">
      <c r="B3617" s="3"/>
    </row>
    <row r="3618" spans="2:2">
      <c r="B3618" s="3"/>
    </row>
    <row r="3619" spans="2:2">
      <c r="B3619" s="3"/>
    </row>
    <row r="3620" spans="2:2">
      <c r="B3620" s="3"/>
    </row>
    <row r="3621" spans="2:2">
      <c r="B3621" s="3"/>
    </row>
    <row r="3622" spans="2:2">
      <c r="B3622" s="3"/>
    </row>
    <row r="3623" spans="2:2">
      <c r="B3623" s="3"/>
    </row>
    <row r="3624" spans="2:2">
      <c r="B3624" s="3"/>
    </row>
    <row r="3625" spans="2:2">
      <c r="B3625" s="3"/>
    </row>
    <row r="3626" spans="2:2">
      <c r="B3626" s="3"/>
    </row>
    <row r="3627" spans="2:2">
      <c r="B3627" s="3"/>
    </row>
    <row r="3628" spans="2:2">
      <c r="B3628" s="3"/>
    </row>
    <row r="3629" spans="2:2">
      <c r="B3629" s="3"/>
    </row>
    <row r="3630" spans="2:2">
      <c r="B3630" s="3"/>
    </row>
    <row r="3631" spans="2:2">
      <c r="B3631" s="3"/>
    </row>
    <row r="3632" spans="2:2">
      <c r="B3632" s="3"/>
    </row>
    <row r="3633" spans="2:2">
      <c r="B3633" s="3"/>
    </row>
    <row r="3634" spans="2:2">
      <c r="B3634" s="3"/>
    </row>
    <row r="3635" spans="2:2">
      <c r="B3635" s="3"/>
    </row>
    <row r="3636" spans="2:2">
      <c r="B3636" s="3"/>
    </row>
    <row r="3637" spans="2:2">
      <c r="B3637" s="3"/>
    </row>
    <row r="3638" spans="2:2">
      <c r="B3638" s="3"/>
    </row>
    <row r="3639" spans="2:2">
      <c r="B3639" s="3"/>
    </row>
    <row r="3640" spans="2:2">
      <c r="B3640" s="3"/>
    </row>
    <row r="3641" spans="2:2">
      <c r="B3641" s="3"/>
    </row>
    <row r="3642" spans="2:2">
      <c r="B3642" s="3"/>
    </row>
    <row r="3643" spans="2:2">
      <c r="B3643" s="3"/>
    </row>
    <row r="3644" spans="2:2">
      <c r="B3644" s="3"/>
    </row>
    <row r="3645" spans="2:2">
      <c r="B3645" s="3"/>
    </row>
    <row r="3646" spans="2:2">
      <c r="B3646" s="3"/>
    </row>
    <row r="3647" spans="2:2">
      <c r="B3647" s="3"/>
    </row>
    <row r="3648" spans="2:2">
      <c r="B3648" s="3"/>
    </row>
    <row r="3649" spans="2:2">
      <c r="B3649" s="3"/>
    </row>
    <row r="3650" spans="2:2">
      <c r="B3650" s="3"/>
    </row>
    <row r="3651" spans="2:2">
      <c r="B3651" s="3"/>
    </row>
    <row r="3652" spans="2:2">
      <c r="B3652" s="3"/>
    </row>
    <row r="3653" spans="2:2">
      <c r="B3653" s="3"/>
    </row>
    <row r="3654" spans="2:2">
      <c r="B3654" s="3"/>
    </row>
    <row r="3655" spans="2:2">
      <c r="B3655" s="3"/>
    </row>
    <row r="3656" spans="2:2">
      <c r="B3656" s="3"/>
    </row>
    <row r="3657" spans="2:2">
      <c r="B3657" s="3"/>
    </row>
    <row r="3658" spans="2:2">
      <c r="B3658" s="3"/>
    </row>
    <row r="3659" spans="2:2">
      <c r="B3659" s="3"/>
    </row>
    <row r="3660" spans="2:2">
      <c r="B3660" s="3"/>
    </row>
    <row r="3661" spans="2:2">
      <c r="B3661" s="3"/>
    </row>
    <row r="3662" spans="2:2">
      <c r="B3662" s="3"/>
    </row>
    <row r="3663" spans="2:2">
      <c r="B3663" s="3"/>
    </row>
    <row r="3664" spans="2:2">
      <c r="B3664" s="3"/>
    </row>
    <row r="3665" spans="2:2">
      <c r="B3665" s="3"/>
    </row>
    <row r="3666" spans="2:2">
      <c r="B3666" s="3"/>
    </row>
    <row r="3667" spans="2:2">
      <c r="B3667" s="3"/>
    </row>
    <row r="3668" spans="2:2">
      <c r="B3668" s="3"/>
    </row>
    <row r="3669" spans="2:2">
      <c r="B3669" s="3"/>
    </row>
    <row r="3670" spans="2:2">
      <c r="B3670" s="3"/>
    </row>
    <row r="3671" spans="2:2">
      <c r="B3671" s="3"/>
    </row>
    <row r="3672" spans="2:2">
      <c r="B3672" s="3"/>
    </row>
    <row r="3673" spans="2:2">
      <c r="B3673" s="3"/>
    </row>
    <row r="3674" spans="2:2">
      <c r="B3674" s="3"/>
    </row>
    <row r="3675" spans="2:2">
      <c r="B3675" s="3"/>
    </row>
    <row r="3676" spans="2:2">
      <c r="B3676" s="3"/>
    </row>
    <row r="3677" spans="2:2">
      <c r="B3677" s="3"/>
    </row>
    <row r="3678" spans="2:2">
      <c r="B3678" s="3"/>
    </row>
    <row r="3679" spans="2:2">
      <c r="B3679" s="3"/>
    </row>
    <row r="3680" spans="2:2">
      <c r="B3680" s="3"/>
    </row>
    <row r="3681" spans="2:2">
      <c r="B3681" s="3"/>
    </row>
    <row r="3682" spans="2:2">
      <c r="B3682" s="3"/>
    </row>
    <row r="3683" spans="2:2">
      <c r="B3683" s="3"/>
    </row>
    <row r="3684" spans="2:2">
      <c r="B3684" s="3"/>
    </row>
    <row r="3685" spans="2:2">
      <c r="B3685" s="3"/>
    </row>
    <row r="3686" spans="2:2">
      <c r="B3686" s="3"/>
    </row>
    <row r="3687" spans="2:2">
      <c r="B3687" s="3"/>
    </row>
    <row r="3688" spans="2:2">
      <c r="B3688" s="3"/>
    </row>
    <row r="3689" spans="2:2">
      <c r="B3689" s="3"/>
    </row>
    <row r="3690" spans="2:2">
      <c r="B3690" s="3"/>
    </row>
    <row r="3691" spans="2:2">
      <c r="B3691" s="3"/>
    </row>
    <row r="3692" spans="2:2">
      <c r="B3692" s="3"/>
    </row>
    <row r="3693" spans="2:2">
      <c r="B3693" s="3"/>
    </row>
    <row r="3694" spans="2:2">
      <c r="B3694" s="3"/>
    </row>
    <row r="3695" spans="2:2">
      <c r="B3695" s="3"/>
    </row>
    <row r="3696" spans="2:2">
      <c r="B3696" s="3"/>
    </row>
    <row r="3697" spans="2:2">
      <c r="B3697" s="3"/>
    </row>
    <row r="3698" spans="2:2">
      <c r="B3698" s="3"/>
    </row>
    <row r="3699" spans="2:2">
      <c r="B3699" s="3"/>
    </row>
    <row r="3700" spans="2:2">
      <c r="B3700" s="3"/>
    </row>
    <row r="3701" spans="2:2">
      <c r="B3701" s="3"/>
    </row>
    <row r="3702" spans="2:2">
      <c r="B3702" s="3"/>
    </row>
    <row r="3703" spans="2:2">
      <c r="B3703" s="3"/>
    </row>
    <row r="3704" spans="2:2">
      <c r="B3704" s="3"/>
    </row>
    <row r="3705" spans="2:2">
      <c r="B3705" s="3"/>
    </row>
    <row r="3706" spans="2:2">
      <c r="B3706" s="3"/>
    </row>
    <row r="3707" spans="2:2">
      <c r="B3707" s="3"/>
    </row>
    <row r="3708" spans="2:2">
      <c r="B3708" s="3"/>
    </row>
    <row r="3709" spans="2:2">
      <c r="B3709" s="3"/>
    </row>
    <row r="3710" spans="2:2">
      <c r="B3710" s="3"/>
    </row>
    <row r="3711" spans="2:2">
      <c r="B3711" s="3"/>
    </row>
    <row r="3712" spans="2:2">
      <c r="B3712" s="3"/>
    </row>
    <row r="3713" spans="2:2">
      <c r="B3713" s="3"/>
    </row>
    <row r="3714" spans="2:2">
      <c r="B3714" s="3"/>
    </row>
    <row r="3715" spans="2:2">
      <c r="B3715" s="3"/>
    </row>
    <row r="3716" spans="2:2">
      <c r="B3716" s="3"/>
    </row>
    <row r="3717" spans="2:2">
      <c r="B3717" s="3"/>
    </row>
    <row r="3718" spans="2:2">
      <c r="B3718" s="3"/>
    </row>
    <row r="3719" spans="2:2">
      <c r="B3719" s="3"/>
    </row>
    <row r="3720" spans="2:2">
      <c r="B3720" s="3"/>
    </row>
    <row r="3721" spans="2:2">
      <c r="B3721" s="3"/>
    </row>
    <row r="3722" spans="2:2">
      <c r="B3722" s="3"/>
    </row>
    <row r="3723" spans="2:2">
      <c r="B3723" s="3"/>
    </row>
    <row r="3724" spans="2:2">
      <c r="B3724" s="3"/>
    </row>
    <row r="3725" spans="2:2">
      <c r="B3725" s="3"/>
    </row>
    <row r="3726" spans="2:2">
      <c r="B3726" s="3"/>
    </row>
    <row r="3727" spans="2:2">
      <c r="B3727" s="3"/>
    </row>
    <row r="3728" spans="2:2">
      <c r="B3728" s="3"/>
    </row>
    <row r="3729" spans="2:2">
      <c r="B3729" s="3"/>
    </row>
    <row r="3730" spans="2:2">
      <c r="B3730" s="3"/>
    </row>
    <row r="3731" spans="2:2">
      <c r="B3731" s="3"/>
    </row>
    <row r="3732" spans="2:2">
      <c r="B3732" s="3"/>
    </row>
    <row r="3733" spans="2:2">
      <c r="B3733" s="3"/>
    </row>
    <row r="3734" spans="2:2">
      <c r="B3734" s="3"/>
    </row>
    <row r="3735" spans="2:2">
      <c r="B3735" s="3"/>
    </row>
    <row r="3736" spans="2:2">
      <c r="B3736" s="3"/>
    </row>
    <row r="3737" spans="2:2">
      <c r="B3737" s="3"/>
    </row>
    <row r="3738" spans="2:2">
      <c r="B3738" s="3"/>
    </row>
    <row r="3739" spans="2:2">
      <c r="B3739" s="3"/>
    </row>
    <row r="3740" spans="2:2">
      <c r="B3740" s="3"/>
    </row>
    <row r="3741" spans="2:2">
      <c r="B3741" s="3"/>
    </row>
    <row r="3742" spans="2:2">
      <c r="B3742" s="3"/>
    </row>
    <row r="3743" spans="2:2">
      <c r="B3743" s="3"/>
    </row>
    <row r="3744" spans="2:2">
      <c r="B3744" s="3"/>
    </row>
    <row r="3745" spans="2:2">
      <c r="B3745" s="3"/>
    </row>
    <row r="3746" spans="2:2">
      <c r="B3746" s="3"/>
    </row>
    <row r="3747" spans="2:2">
      <c r="B3747" s="3"/>
    </row>
    <row r="3748" spans="2:2">
      <c r="B3748" s="3"/>
    </row>
    <row r="3749" spans="2:2">
      <c r="B3749" s="3"/>
    </row>
    <row r="3750" spans="2:2">
      <c r="B3750" s="3"/>
    </row>
    <row r="3751" spans="2:2">
      <c r="B3751" s="3"/>
    </row>
    <row r="3752" spans="2:2">
      <c r="B3752" s="3"/>
    </row>
    <row r="3753" spans="2:2">
      <c r="B3753" s="3"/>
    </row>
    <row r="3754" spans="2:2">
      <c r="B3754" s="3"/>
    </row>
    <row r="3755" spans="2:2">
      <c r="B3755" s="3"/>
    </row>
    <row r="3756" spans="2:2">
      <c r="B3756" s="3"/>
    </row>
    <row r="3757" spans="2:2">
      <c r="B3757" s="3"/>
    </row>
    <row r="3758" spans="2:2">
      <c r="B3758" s="3"/>
    </row>
    <row r="3759" spans="2:2">
      <c r="B3759" s="3"/>
    </row>
    <row r="3760" spans="2:2">
      <c r="B3760" s="3"/>
    </row>
    <row r="3761" spans="2:2">
      <c r="B3761" s="3"/>
    </row>
    <row r="3762" spans="2:2">
      <c r="B3762" s="3"/>
    </row>
    <row r="3763" spans="2:2">
      <c r="B3763" s="3"/>
    </row>
    <row r="3764" spans="2:2">
      <c r="B3764" s="3"/>
    </row>
    <row r="3765" spans="2:2">
      <c r="B3765" s="3"/>
    </row>
    <row r="3766" spans="2:2">
      <c r="B3766" s="3"/>
    </row>
    <row r="3767" spans="2:2">
      <c r="B3767" s="3"/>
    </row>
    <row r="3768" spans="2:2">
      <c r="B3768" s="3"/>
    </row>
    <row r="3769" spans="2:2">
      <c r="B3769" s="3"/>
    </row>
    <row r="3770" spans="2:2">
      <c r="B3770" s="3"/>
    </row>
    <row r="3771" spans="2:2">
      <c r="B3771" s="3"/>
    </row>
    <row r="3772" spans="2:2">
      <c r="B3772" s="3"/>
    </row>
    <row r="3773" spans="2:2">
      <c r="B3773" s="3"/>
    </row>
    <row r="3774" spans="2:2">
      <c r="B3774" s="3"/>
    </row>
    <row r="3775" spans="2:2">
      <c r="B3775" s="3"/>
    </row>
    <row r="3776" spans="2:2">
      <c r="B3776" s="3"/>
    </row>
    <row r="3777" spans="2:2">
      <c r="B3777" s="3"/>
    </row>
    <row r="3778" spans="2:2">
      <c r="B3778" s="3"/>
    </row>
    <row r="3779" spans="2:2">
      <c r="B3779" s="3"/>
    </row>
    <row r="3780" spans="2:2">
      <c r="B3780" s="3"/>
    </row>
    <row r="3781" spans="2:2">
      <c r="B3781" s="3"/>
    </row>
    <row r="3782" spans="2:2">
      <c r="B3782" s="3"/>
    </row>
    <row r="3783" spans="2:2">
      <c r="B3783" s="3"/>
    </row>
    <row r="3784" spans="2:2">
      <c r="B3784" s="3"/>
    </row>
    <row r="3785" spans="2:2">
      <c r="B3785" s="3"/>
    </row>
    <row r="3786" spans="2:2">
      <c r="B3786" s="3"/>
    </row>
    <row r="3787" spans="2:2">
      <c r="B3787" s="3"/>
    </row>
    <row r="3788" spans="2:2">
      <c r="B3788" s="3"/>
    </row>
    <row r="3789" spans="2:2">
      <c r="B3789" s="3"/>
    </row>
    <row r="3790" spans="2:2">
      <c r="B3790" s="3"/>
    </row>
    <row r="3791" spans="2:2">
      <c r="B3791" s="3"/>
    </row>
    <row r="3792" spans="2:2">
      <c r="B3792" s="3"/>
    </row>
    <row r="3793" spans="2:2">
      <c r="B3793" s="3"/>
    </row>
    <row r="3794" spans="2:2">
      <c r="B3794" s="3"/>
    </row>
    <row r="3795" spans="2:2">
      <c r="B3795" s="3"/>
    </row>
    <row r="3796" spans="2:2">
      <c r="B3796" s="3"/>
    </row>
    <row r="3797" spans="2:2">
      <c r="B3797" s="3"/>
    </row>
    <row r="3798" spans="2:2">
      <c r="B3798" s="3"/>
    </row>
    <row r="3799" spans="2:2">
      <c r="B3799" s="3"/>
    </row>
    <row r="3800" spans="2:2">
      <c r="B3800" s="3"/>
    </row>
    <row r="3801" spans="2:2">
      <c r="B3801" s="3"/>
    </row>
    <row r="3802" spans="2:2">
      <c r="B3802" s="3"/>
    </row>
    <row r="3803" spans="2:2">
      <c r="B3803" s="3"/>
    </row>
    <row r="3804" spans="2:2">
      <c r="B3804" s="3"/>
    </row>
    <row r="3805" spans="2:2">
      <c r="B3805" s="3"/>
    </row>
    <row r="3806" spans="2:2">
      <c r="B3806" s="3"/>
    </row>
    <row r="3807" spans="2:2">
      <c r="B3807" s="3"/>
    </row>
    <row r="3808" spans="2:2">
      <c r="B3808" s="3"/>
    </row>
    <row r="3809" spans="2:2">
      <c r="B3809" s="3"/>
    </row>
    <row r="3810" spans="2:2">
      <c r="B3810" s="3"/>
    </row>
    <row r="3811" spans="2:2">
      <c r="B3811" s="3"/>
    </row>
    <row r="3812" spans="2:2">
      <c r="B3812" s="3"/>
    </row>
    <row r="3813" spans="2:2">
      <c r="B3813" s="3"/>
    </row>
    <row r="3814" spans="2:2">
      <c r="B3814" s="3"/>
    </row>
    <row r="3815" spans="2:2">
      <c r="B3815" s="3"/>
    </row>
    <row r="3816" spans="2:2">
      <c r="B3816" s="3"/>
    </row>
    <row r="3817" spans="2:2">
      <c r="B3817" s="3"/>
    </row>
    <row r="3818" spans="2:2">
      <c r="B3818" s="3"/>
    </row>
    <row r="3819" spans="2:2">
      <c r="B3819" s="3"/>
    </row>
    <row r="3820" spans="2:2">
      <c r="B3820" s="3"/>
    </row>
    <row r="3821" spans="2:2">
      <c r="B3821" s="3"/>
    </row>
    <row r="3822" spans="2:2">
      <c r="B3822" s="3"/>
    </row>
    <row r="3823" spans="2:2">
      <c r="B3823" s="3"/>
    </row>
    <row r="3824" spans="2:2">
      <c r="B3824" s="3"/>
    </row>
    <row r="3825" spans="2:2">
      <c r="B3825" s="3"/>
    </row>
    <row r="3826" spans="2:2">
      <c r="B3826" s="3"/>
    </row>
    <row r="3827" spans="2:2">
      <c r="B3827" s="3"/>
    </row>
    <row r="3828" spans="2:2">
      <c r="B3828" s="3"/>
    </row>
    <row r="3829" spans="2:2">
      <c r="B3829" s="3"/>
    </row>
    <row r="3830" spans="2:2">
      <c r="B3830" s="3"/>
    </row>
    <row r="3831" spans="2:2">
      <c r="B3831" s="3"/>
    </row>
    <row r="3832" spans="2:2">
      <c r="B3832" s="3"/>
    </row>
    <row r="3833" spans="2:2">
      <c r="B3833" s="3"/>
    </row>
    <row r="3834" spans="2:2">
      <c r="B3834" s="3"/>
    </row>
    <row r="3835" spans="2:2">
      <c r="B3835" s="3"/>
    </row>
    <row r="3836" spans="2:2">
      <c r="B3836" s="3"/>
    </row>
    <row r="3837" spans="2:2">
      <c r="B3837" s="3"/>
    </row>
    <row r="3838" spans="2:2">
      <c r="B3838" s="3"/>
    </row>
    <row r="3839" spans="2:2">
      <c r="B3839" s="3"/>
    </row>
    <row r="3840" spans="2:2">
      <c r="B3840" s="3"/>
    </row>
    <row r="3841" spans="2:2">
      <c r="B3841" s="3"/>
    </row>
    <row r="3842" spans="2:2">
      <c r="B3842" s="3"/>
    </row>
    <row r="3843" spans="2:2">
      <c r="B3843" s="3"/>
    </row>
    <row r="3844" spans="2:2">
      <c r="B3844" s="3"/>
    </row>
    <row r="3845" spans="2:2">
      <c r="B3845" s="3"/>
    </row>
    <row r="3846" spans="2:2">
      <c r="B3846" s="3"/>
    </row>
    <row r="3847" spans="2:2">
      <c r="B3847" s="3"/>
    </row>
    <row r="3848" spans="2:2">
      <c r="B3848" s="3"/>
    </row>
    <row r="3849" spans="2:2">
      <c r="B3849" s="3"/>
    </row>
    <row r="3850" spans="2:2">
      <c r="B3850" s="3"/>
    </row>
    <row r="3851" spans="2:2">
      <c r="B3851" s="3"/>
    </row>
    <row r="3852" spans="2:2">
      <c r="B3852" s="3"/>
    </row>
    <row r="3853" spans="2:2">
      <c r="B3853" s="3"/>
    </row>
    <row r="3854" spans="2:2">
      <c r="B3854" s="3"/>
    </row>
    <row r="3855" spans="2:2">
      <c r="B3855" s="3"/>
    </row>
    <row r="3856" spans="2:2">
      <c r="B3856" s="3"/>
    </row>
    <row r="3857" spans="2:2">
      <c r="B3857" s="3"/>
    </row>
    <row r="3858" spans="2:2">
      <c r="B3858" s="3"/>
    </row>
    <row r="3859" spans="2:2">
      <c r="B3859" s="3"/>
    </row>
    <row r="3860" spans="2:2">
      <c r="B3860" s="3"/>
    </row>
    <row r="3861" spans="2:2">
      <c r="B3861" s="3"/>
    </row>
    <row r="3862" spans="2:2">
      <c r="B3862" s="3"/>
    </row>
    <row r="3863" spans="2:2">
      <c r="B3863" s="3"/>
    </row>
    <row r="3864" spans="2:2">
      <c r="B3864" s="3"/>
    </row>
    <row r="3865" spans="2:2">
      <c r="B3865" s="3"/>
    </row>
    <row r="3866" spans="2:2">
      <c r="B3866" s="3"/>
    </row>
    <row r="3867" spans="2:2">
      <c r="B3867" s="3"/>
    </row>
    <row r="3868" spans="2:2">
      <c r="B3868" s="3"/>
    </row>
    <row r="3869" spans="2:2">
      <c r="B3869" s="3"/>
    </row>
    <row r="3870" spans="2:2">
      <c r="B3870" s="3"/>
    </row>
    <row r="3871" spans="2:2">
      <c r="B3871" s="3"/>
    </row>
    <row r="3872" spans="2:2">
      <c r="B3872" s="3"/>
    </row>
    <row r="3873" spans="2:2">
      <c r="B3873" s="3"/>
    </row>
    <row r="3874" spans="2:2">
      <c r="B3874" s="3"/>
    </row>
    <row r="3875" spans="2:2">
      <c r="B3875" s="3"/>
    </row>
    <row r="3876" spans="2:2">
      <c r="B3876" s="3"/>
    </row>
    <row r="3877" spans="2:2">
      <c r="B3877" s="3"/>
    </row>
    <row r="3878" spans="2:2">
      <c r="B3878" s="3"/>
    </row>
    <row r="3879" spans="2:2">
      <c r="B3879" s="3"/>
    </row>
    <row r="3880" spans="2:2">
      <c r="B3880" s="3"/>
    </row>
    <row r="3881" spans="2:2">
      <c r="B3881" s="3"/>
    </row>
    <row r="3882" spans="2:2">
      <c r="B3882" s="3"/>
    </row>
    <row r="3883" spans="2:2">
      <c r="B3883" s="3"/>
    </row>
    <row r="3884" spans="2:2">
      <c r="B3884" s="3"/>
    </row>
    <row r="3885" spans="2:2">
      <c r="B3885" s="3"/>
    </row>
    <row r="3886" spans="2:2">
      <c r="B3886" s="3"/>
    </row>
    <row r="3887" spans="2:2">
      <c r="B3887" s="3"/>
    </row>
    <row r="3888" spans="2:2">
      <c r="B3888" s="3"/>
    </row>
    <row r="3889" spans="2:2">
      <c r="B3889" s="3"/>
    </row>
    <row r="3890" spans="2:2">
      <c r="B3890" s="3"/>
    </row>
    <row r="3891" spans="2:2">
      <c r="B3891" s="3"/>
    </row>
    <row r="3892" spans="2:2">
      <c r="B3892" s="3"/>
    </row>
    <row r="3893" spans="2:2">
      <c r="B3893" s="3"/>
    </row>
    <row r="3894" spans="2:2">
      <c r="B3894" s="3"/>
    </row>
    <row r="3895" spans="2:2">
      <c r="B3895" s="3"/>
    </row>
    <row r="3896" spans="2:2">
      <c r="B3896" s="3"/>
    </row>
    <row r="3897" spans="2:2">
      <c r="B3897" s="3"/>
    </row>
    <row r="3898" spans="2:2">
      <c r="B3898" s="3"/>
    </row>
    <row r="3899" spans="2:2">
      <c r="B3899" s="3"/>
    </row>
    <row r="3900" spans="2:2">
      <c r="B3900" s="3"/>
    </row>
    <row r="3901" spans="2:2">
      <c r="B3901" s="3"/>
    </row>
    <row r="3902" spans="2:2">
      <c r="B3902" s="3"/>
    </row>
    <row r="3903" spans="2:2">
      <c r="B3903" s="3"/>
    </row>
    <row r="3904" spans="2:2">
      <c r="B3904" s="3"/>
    </row>
    <row r="3905" spans="2:2">
      <c r="B3905" s="3"/>
    </row>
    <row r="3906" spans="2:2">
      <c r="B3906" s="3"/>
    </row>
    <row r="3907" spans="2:2">
      <c r="B3907" s="3"/>
    </row>
    <row r="3908" spans="2:2">
      <c r="B3908" s="3"/>
    </row>
    <row r="3909" spans="2:2">
      <c r="B3909" s="3"/>
    </row>
    <row r="3910" spans="2:2">
      <c r="B3910" s="3"/>
    </row>
    <row r="3911" spans="2:2">
      <c r="B3911" s="3"/>
    </row>
    <row r="3912" spans="2:2">
      <c r="B3912" s="3"/>
    </row>
    <row r="3913" spans="2:2">
      <c r="B3913" s="3"/>
    </row>
    <row r="3914" spans="2:2">
      <c r="B3914" s="3"/>
    </row>
    <row r="3915" spans="2:2">
      <c r="B3915" s="3"/>
    </row>
    <row r="3916" spans="2:2">
      <c r="B3916" s="3"/>
    </row>
    <row r="3917" spans="2:2">
      <c r="B3917" s="3"/>
    </row>
    <row r="3918" spans="2:2">
      <c r="B3918" s="3"/>
    </row>
    <row r="3919" spans="2:2">
      <c r="B3919" s="3"/>
    </row>
    <row r="3920" spans="2:2">
      <c r="B3920" s="3"/>
    </row>
    <row r="3921" spans="2:2">
      <c r="B3921" s="3"/>
    </row>
    <row r="3922" spans="2:2">
      <c r="B3922" s="3"/>
    </row>
    <row r="3923" spans="2:2">
      <c r="B3923" s="3"/>
    </row>
    <row r="3924" spans="2:2">
      <c r="B3924" s="3"/>
    </row>
    <row r="3925" spans="2:2">
      <c r="B3925" s="3"/>
    </row>
    <row r="3926" spans="2:2">
      <c r="B3926" s="3"/>
    </row>
    <row r="3927" spans="2:2">
      <c r="B3927" s="3"/>
    </row>
    <row r="3928" spans="2:2">
      <c r="B3928" s="3"/>
    </row>
    <row r="3929" spans="2:2">
      <c r="B3929" s="3"/>
    </row>
    <row r="3930" spans="2:2">
      <c r="B3930" s="3"/>
    </row>
    <row r="3931" spans="2:2">
      <c r="B3931" s="3"/>
    </row>
    <row r="3932" spans="2:2">
      <c r="B3932" s="3"/>
    </row>
    <row r="3933" spans="2:2">
      <c r="B3933" s="3"/>
    </row>
    <row r="3934" spans="2:2">
      <c r="B3934" s="3"/>
    </row>
    <row r="3935" spans="2:2">
      <c r="B3935" s="3"/>
    </row>
    <row r="3936" spans="2:2">
      <c r="B3936" s="3"/>
    </row>
    <row r="3937" spans="2:2">
      <c r="B3937" s="3"/>
    </row>
    <row r="3938" spans="2:2">
      <c r="B3938" s="3"/>
    </row>
    <row r="3939" spans="2:2">
      <c r="B3939" s="3"/>
    </row>
    <row r="3940" spans="2:2">
      <c r="B3940" s="3"/>
    </row>
    <row r="3941" spans="2:2">
      <c r="B3941" s="3"/>
    </row>
    <row r="3942" spans="2:2">
      <c r="B3942" s="3"/>
    </row>
    <row r="3943" spans="2:2">
      <c r="B3943" s="3"/>
    </row>
    <row r="3944" spans="2:2">
      <c r="B3944" s="3"/>
    </row>
    <row r="3945" spans="2:2">
      <c r="B3945" s="3"/>
    </row>
    <row r="3946" spans="2:2">
      <c r="B3946" s="3"/>
    </row>
    <row r="3947" spans="2:2">
      <c r="B3947" s="3"/>
    </row>
    <row r="3948" spans="2:2">
      <c r="B3948" s="3"/>
    </row>
    <row r="3949" spans="2:2">
      <c r="B3949" s="3"/>
    </row>
    <row r="3950" spans="2:2">
      <c r="B3950" s="3"/>
    </row>
    <row r="3951" spans="2:2">
      <c r="B3951" s="3"/>
    </row>
    <row r="3952" spans="2:2">
      <c r="B3952" s="3"/>
    </row>
    <row r="3953" spans="2:2">
      <c r="B3953" s="3"/>
    </row>
    <row r="3954" spans="2:2">
      <c r="B3954" s="3"/>
    </row>
    <row r="3955" spans="2:2">
      <c r="B3955" s="3"/>
    </row>
    <row r="3956" spans="2:2">
      <c r="B3956" s="3"/>
    </row>
    <row r="3957" spans="2:2">
      <c r="B3957" s="3"/>
    </row>
    <row r="3958" spans="2:2">
      <c r="B3958" s="3"/>
    </row>
    <row r="3959" spans="2:2">
      <c r="B3959" s="3"/>
    </row>
    <row r="3960" spans="2:2">
      <c r="B3960" s="3"/>
    </row>
    <row r="3961" spans="2:2">
      <c r="B3961" s="3"/>
    </row>
    <row r="3962" spans="2:2">
      <c r="B3962" s="3"/>
    </row>
    <row r="3963" spans="2:2">
      <c r="B3963" s="3"/>
    </row>
    <row r="3964" spans="2:2">
      <c r="B3964" s="3"/>
    </row>
    <row r="3965" spans="2:2">
      <c r="B3965" s="3"/>
    </row>
    <row r="3966" spans="2:2">
      <c r="B3966" s="3"/>
    </row>
    <row r="3967" spans="2:2">
      <c r="B3967" s="3"/>
    </row>
    <row r="3968" spans="2:2">
      <c r="B3968" s="3"/>
    </row>
    <row r="3969" spans="2:2">
      <c r="B3969" s="3"/>
    </row>
    <row r="3970" spans="2:2">
      <c r="B3970" s="3"/>
    </row>
    <row r="3971" spans="2:2">
      <c r="B3971" s="3"/>
    </row>
    <row r="3972" spans="2:2">
      <c r="B3972" s="3"/>
    </row>
    <row r="3973" spans="2:2">
      <c r="B3973" s="3"/>
    </row>
    <row r="3974" spans="2:2">
      <c r="B3974" s="3"/>
    </row>
    <row r="3975" spans="2:2">
      <c r="B3975" s="3"/>
    </row>
    <row r="3976" spans="2:2">
      <c r="B3976" s="3"/>
    </row>
    <row r="3977" spans="2:2">
      <c r="B3977" s="3"/>
    </row>
    <row r="3978" spans="2:2">
      <c r="B3978" s="3"/>
    </row>
    <row r="3979" spans="2:2">
      <c r="B3979" s="3"/>
    </row>
    <row r="3980" spans="2:2">
      <c r="B3980" s="3"/>
    </row>
    <row r="3981" spans="2:2">
      <c r="B3981" s="3"/>
    </row>
    <row r="3982" spans="2:2">
      <c r="B3982" s="3"/>
    </row>
    <row r="3983" spans="2:2">
      <c r="B3983" s="3"/>
    </row>
    <row r="3984" spans="2:2">
      <c r="B3984" s="3"/>
    </row>
    <row r="3985" spans="2:2">
      <c r="B3985" s="3"/>
    </row>
    <row r="3986" spans="2:2">
      <c r="B3986" s="3"/>
    </row>
    <row r="3987" spans="2:2">
      <c r="B3987" s="3"/>
    </row>
    <row r="3988" spans="2:2">
      <c r="B3988" s="3"/>
    </row>
    <row r="3989" spans="2:2">
      <c r="B3989" s="3"/>
    </row>
    <row r="3990" spans="2:2">
      <c r="B3990" s="3"/>
    </row>
    <row r="3991" spans="2:2">
      <c r="B3991" s="3"/>
    </row>
    <row r="3992" spans="2:2">
      <c r="B3992" s="3"/>
    </row>
    <row r="3993" spans="2:2">
      <c r="B3993" s="3"/>
    </row>
    <row r="3994" spans="2:2">
      <c r="B3994" s="3"/>
    </row>
    <row r="3995" spans="2:2">
      <c r="B3995" s="3"/>
    </row>
    <row r="3996" spans="2:2">
      <c r="B3996" s="3"/>
    </row>
    <row r="3997" spans="2:2">
      <c r="B3997" s="3"/>
    </row>
    <row r="3998" spans="2:2">
      <c r="B3998" s="3"/>
    </row>
    <row r="3999" spans="2:2">
      <c r="B3999" s="3"/>
    </row>
    <row r="4000" spans="2:2">
      <c r="B4000" s="3"/>
    </row>
    <row r="4001" spans="2:2">
      <c r="B4001" s="3"/>
    </row>
    <row r="4002" spans="2:2">
      <c r="B4002" s="3"/>
    </row>
    <row r="4003" spans="2:2">
      <c r="B4003" s="3"/>
    </row>
    <row r="4004" spans="2:2">
      <c r="B4004" s="3"/>
    </row>
    <row r="4005" spans="2:2">
      <c r="B4005" s="3"/>
    </row>
    <row r="4006" spans="2:2">
      <c r="B4006" s="3"/>
    </row>
    <row r="4007" spans="2:2">
      <c r="B4007" s="3"/>
    </row>
    <row r="4008" spans="2:2">
      <c r="B4008" s="3"/>
    </row>
    <row r="4009" spans="2:2">
      <c r="B4009" s="3"/>
    </row>
    <row r="4010" spans="2:2">
      <c r="B4010" s="3"/>
    </row>
    <row r="4011" spans="2:2">
      <c r="B4011" s="3"/>
    </row>
    <row r="4012" spans="2:2">
      <c r="B4012" s="3"/>
    </row>
    <row r="4013" spans="2:2">
      <c r="B4013" s="3"/>
    </row>
    <row r="4014" spans="2:2">
      <c r="B4014" s="3"/>
    </row>
    <row r="4015" spans="2:2">
      <c r="B4015" s="3"/>
    </row>
    <row r="4016" spans="2:2">
      <c r="B4016" s="3"/>
    </row>
    <row r="4017" spans="2:2">
      <c r="B4017" s="3"/>
    </row>
    <row r="4018" spans="2:2">
      <c r="B4018" s="3"/>
    </row>
    <row r="4019" spans="2:2">
      <c r="B4019" s="3"/>
    </row>
    <row r="4020" spans="2:2">
      <c r="B4020" s="3"/>
    </row>
    <row r="4021" spans="2:2">
      <c r="B4021" s="3"/>
    </row>
    <row r="4022" spans="2:2">
      <c r="B4022" s="3"/>
    </row>
    <row r="4023" spans="2:2">
      <c r="B4023" s="3"/>
    </row>
    <row r="4024" spans="2:2">
      <c r="B4024" s="3"/>
    </row>
    <row r="4025" spans="2:2">
      <c r="B4025" s="3"/>
    </row>
    <row r="4026" spans="2:2">
      <c r="B4026" s="3"/>
    </row>
    <row r="4027" spans="2:2">
      <c r="B4027" s="3"/>
    </row>
    <row r="4028" spans="2:2">
      <c r="B4028" s="3"/>
    </row>
    <row r="4029" spans="2:2">
      <c r="B4029" s="3"/>
    </row>
    <row r="4030" spans="2:2">
      <c r="B4030" s="3"/>
    </row>
    <row r="4031" spans="2:2">
      <c r="B4031" s="3"/>
    </row>
    <row r="4032" spans="2:2">
      <c r="B4032" s="3"/>
    </row>
    <row r="4033" spans="2:2">
      <c r="B4033" s="3"/>
    </row>
    <row r="4034" spans="2:2">
      <c r="B4034" s="3"/>
    </row>
    <row r="4035" spans="2:2">
      <c r="B4035" s="3"/>
    </row>
    <row r="4036" spans="2:2">
      <c r="B4036" s="3"/>
    </row>
    <row r="4037" spans="2:2">
      <c r="B4037" s="3"/>
    </row>
    <row r="4038" spans="2:2">
      <c r="B4038" s="3"/>
    </row>
    <row r="4039" spans="2:2">
      <c r="B4039" s="3"/>
    </row>
    <row r="4040" spans="2:2">
      <c r="B4040" s="3"/>
    </row>
    <row r="4041" spans="2:2">
      <c r="B4041" s="3"/>
    </row>
    <row r="4042" spans="2:2">
      <c r="B4042" s="3"/>
    </row>
    <row r="4043" spans="2:2">
      <c r="B4043" s="3"/>
    </row>
    <row r="4044" spans="2:2">
      <c r="B4044" s="3"/>
    </row>
    <row r="4045" spans="2:2">
      <c r="B4045" s="3"/>
    </row>
    <row r="4046" spans="2:2">
      <c r="B4046" s="3"/>
    </row>
    <row r="4047" spans="2:2">
      <c r="B4047" s="3"/>
    </row>
    <row r="4048" spans="2:2">
      <c r="B4048" s="3"/>
    </row>
    <row r="4049" spans="2:2">
      <c r="B4049" s="3"/>
    </row>
    <row r="4050" spans="2:2">
      <c r="B4050" s="3"/>
    </row>
    <row r="4051" spans="2:2">
      <c r="B4051" s="3"/>
    </row>
    <row r="4052" spans="2:2">
      <c r="B4052" s="3"/>
    </row>
    <row r="4053" spans="2:2">
      <c r="B4053" s="3"/>
    </row>
    <row r="4054" spans="2:2">
      <c r="B4054" s="3"/>
    </row>
    <row r="4055" spans="2:2">
      <c r="B4055" s="3"/>
    </row>
    <row r="4056" spans="2:2">
      <c r="B4056" s="3"/>
    </row>
    <row r="4057" spans="2:2">
      <c r="B4057" s="3"/>
    </row>
    <row r="4058" spans="2:2">
      <c r="B4058" s="3"/>
    </row>
    <row r="4059" spans="2:2">
      <c r="B4059" s="3"/>
    </row>
    <row r="4060" spans="2:2">
      <c r="B4060" s="3"/>
    </row>
    <row r="4061" spans="2:2">
      <c r="B4061" s="3"/>
    </row>
    <row r="4062" spans="2:2">
      <c r="B4062" s="3"/>
    </row>
    <row r="4063" spans="2:2">
      <c r="B4063" s="3"/>
    </row>
    <row r="4064" spans="2:2">
      <c r="B4064" s="3"/>
    </row>
    <row r="4065" spans="2:2">
      <c r="B4065" s="3"/>
    </row>
    <row r="4066" spans="2:2">
      <c r="B4066" s="3"/>
    </row>
    <row r="4067" spans="2:2">
      <c r="B4067" s="3"/>
    </row>
    <row r="4068" spans="2:2">
      <c r="B4068" s="3"/>
    </row>
    <row r="4069" spans="2:2">
      <c r="B4069" s="3"/>
    </row>
    <row r="4070" spans="2:2">
      <c r="B4070" s="3"/>
    </row>
    <row r="4071" spans="2:2">
      <c r="B4071" s="3"/>
    </row>
    <row r="4072" spans="2:2">
      <c r="B4072" s="3"/>
    </row>
    <row r="4073" spans="2:2">
      <c r="B4073" s="3"/>
    </row>
    <row r="4074" spans="2:2">
      <c r="B4074" s="3"/>
    </row>
    <row r="4075" spans="2:2">
      <c r="B4075" s="3"/>
    </row>
    <row r="4076" spans="2:2">
      <c r="B4076" s="3"/>
    </row>
    <row r="4077" spans="2:2">
      <c r="B4077" s="3"/>
    </row>
    <row r="4078" spans="2:2">
      <c r="B4078" s="3"/>
    </row>
    <row r="4079" spans="2:2">
      <c r="B4079" s="3"/>
    </row>
    <row r="4080" spans="2:2">
      <c r="B4080" s="3"/>
    </row>
    <row r="4081" spans="2:2">
      <c r="B4081" s="3"/>
    </row>
    <row r="4082" spans="2:2">
      <c r="B4082" s="3"/>
    </row>
    <row r="4083" spans="2:2">
      <c r="B4083" s="3"/>
    </row>
    <row r="4084" spans="2:2">
      <c r="B4084" s="3"/>
    </row>
    <row r="4085" spans="2:2">
      <c r="B4085" s="3"/>
    </row>
    <row r="4086" spans="2:2">
      <c r="B4086" s="3"/>
    </row>
    <row r="4087" spans="2:2">
      <c r="B4087" s="3"/>
    </row>
    <row r="4088" spans="2:2">
      <c r="B4088" s="3"/>
    </row>
    <row r="4089" spans="2:2">
      <c r="B4089" s="3"/>
    </row>
    <row r="4090" spans="2:2">
      <c r="B4090" s="3"/>
    </row>
    <row r="4091" spans="2:2">
      <c r="B4091" s="3"/>
    </row>
    <row r="4092" spans="2:2">
      <c r="B4092" s="3"/>
    </row>
    <row r="4093" spans="2:2">
      <c r="B4093" s="3"/>
    </row>
    <row r="4094" spans="2:2">
      <c r="B4094" s="3"/>
    </row>
    <row r="4095" spans="2:2">
      <c r="B4095" s="3"/>
    </row>
    <row r="4096" spans="2:2">
      <c r="B4096" s="3"/>
    </row>
    <row r="4097" spans="2:2">
      <c r="B4097" s="3"/>
    </row>
    <row r="4098" spans="2:2">
      <c r="B4098" s="3"/>
    </row>
    <row r="4099" spans="2:2">
      <c r="B4099" s="3"/>
    </row>
    <row r="4100" spans="2:2">
      <c r="B4100" s="3"/>
    </row>
    <row r="4101" spans="2:2">
      <c r="B4101" s="3"/>
    </row>
    <row r="4102" spans="2:2">
      <c r="B4102" s="3"/>
    </row>
    <row r="4103" spans="2:2">
      <c r="B4103" s="3"/>
    </row>
    <row r="4104" spans="2:2">
      <c r="B4104" s="3"/>
    </row>
    <row r="4105" spans="2:2">
      <c r="B4105" s="3"/>
    </row>
    <row r="4106" spans="2:2">
      <c r="B4106" s="3"/>
    </row>
    <row r="4107" spans="2:2">
      <c r="B4107" s="3"/>
    </row>
    <row r="4108" spans="2:2">
      <c r="B4108" s="3"/>
    </row>
    <row r="4109" spans="2:2">
      <c r="B4109" s="3"/>
    </row>
    <row r="4110" spans="2:2">
      <c r="B4110" s="3"/>
    </row>
    <row r="4111" spans="2:2">
      <c r="B4111" s="3"/>
    </row>
    <row r="4112" spans="2:2">
      <c r="B4112" s="3"/>
    </row>
    <row r="4113" spans="2:2">
      <c r="B4113" s="3"/>
    </row>
    <row r="4114" spans="2:2">
      <c r="B4114" s="3"/>
    </row>
    <row r="4115" spans="2:2">
      <c r="B4115" s="3"/>
    </row>
    <row r="4116" spans="2:2">
      <c r="B4116" s="3"/>
    </row>
    <row r="4117" spans="2:2">
      <c r="B4117" s="3"/>
    </row>
    <row r="4118" spans="2:2">
      <c r="B4118" s="3"/>
    </row>
    <row r="4119" spans="2:2">
      <c r="B4119" s="3"/>
    </row>
    <row r="4120" spans="2:2">
      <c r="B4120" s="3"/>
    </row>
    <row r="4121" spans="2:2">
      <c r="B4121" s="3"/>
    </row>
    <row r="4122" spans="2:2">
      <c r="B4122" s="3"/>
    </row>
    <row r="4123" spans="2:2">
      <c r="B4123" s="3"/>
    </row>
    <row r="4124" spans="2:2">
      <c r="B4124" s="3"/>
    </row>
    <row r="4125" spans="2:2">
      <c r="B4125" s="3"/>
    </row>
    <row r="4126" spans="2:2">
      <c r="B4126" s="3"/>
    </row>
    <row r="4127" spans="2:2">
      <c r="B4127" s="3"/>
    </row>
    <row r="4128" spans="2:2">
      <c r="B4128" s="3"/>
    </row>
    <row r="4129" spans="2:2">
      <c r="B4129" s="3"/>
    </row>
    <row r="4130" spans="2:2">
      <c r="B4130" s="3"/>
    </row>
    <row r="4131" spans="2:2">
      <c r="B4131" s="3"/>
    </row>
    <row r="4132" spans="2:2">
      <c r="B4132" s="3"/>
    </row>
    <row r="4133" spans="2:2">
      <c r="B4133" s="3"/>
    </row>
    <row r="4134" spans="2:2">
      <c r="B4134" s="3"/>
    </row>
    <row r="4135" spans="2:2">
      <c r="B4135" s="3"/>
    </row>
    <row r="4136" spans="2:2">
      <c r="B4136" s="3"/>
    </row>
    <row r="4137" spans="2:2">
      <c r="B4137" s="3"/>
    </row>
    <row r="4138" spans="2:2">
      <c r="B4138" s="3"/>
    </row>
    <row r="4139" spans="2:2">
      <c r="B4139" s="3"/>
    </row>
    <row r="4140" spans="2:2">
      <c r="B4140" s="3"/>
    </row>
    <row r="4141" spans="2:2">
      <c r="B4141" s="3"/>
    </row>
    <row r="4142" spans="2:2">
      <c r="B4142" s="3"/>
    </row>
    <row r="4143" spans="2:2">
      <c r="B4143" s="3"/>
    </row>
    <row r="4144" spans="2:2">
      <c r="B4144" s="3"/>
    </row>
    <row r="4145" spans="2:2">
      <c r="B4145" s="3"/>
    </row>
    <row r="4146" spans="2:2">
      <c r="B4146" s="3"/>
    </row>
    <row r="4147" spans="2:2">
      <c r="B4147" s="3"/>
    </row>
    <row r="4148" spans="2:2">
      <c r="B4148" s="3"/>
    </row>
    <row r="4149" spans="2:2">
      <c r="B4149" s="3"/>
    </row>
    <row r="4150" spans="2:2">
      <c r="B4150" s="3"/>
    </row>
    <row r="4151" spans="2:2">
      <c r="B4151" s="3"/>
    </row>
    <row r="4152" spans="2:2">
      <c r="B4152" s="3"/>
    </row>
    <row r="4153" spans="2:2">
      <c r="B4153" s="3"/>
    </row>
    <row r="4154" spans="2:2">
      <c r="B4154" s="3"/>
    </row>
    <row r="4155" spans="2:2">
      <c r="B4155" s="3"/>
    </row>
    <row r="4156" spans="2:2">
      <c r="B4156" s="3"/>
    </row>
    <row r="4157" spans="2:2">
      <c r="B4157" s="3"/>
    </row>
    <row r="4158" spans="2:2">
      <c r="B4158" s="3"/>
    </row>
    <row r="4159" spans="2:2">
      <c r="B4159" s="3"/>
    </row>
    <row r="4160" spans="2:2">
      <c r="B4160" s="3"/>
    </row>
    <row r="4161" spans="2:2">
      <c r="B4161" s="3"/>
    </row>
    <row r="4162" spans="2:2">
      <c r="B4162" s="3"/>
    </row>
    <row r="4163" spans="2:2">
      <c r="B4163" s="3"/>
    </row>
    <row r="4164" spans="2:2">
      <c r="B4164" s="3"/>
    </row>
    <row r="4165" spans="2:2">
      <c r="B4165" s="3"/>
    </row>
    <row r="4166" spans="2:2">
      <c r="B4166" s="3"/>
    </row>
    <row r="4167" spans="2:2">
      <c r="B4167" s="3"/>
    </row>
    <row r="4168" spans="2:2">
      <c r="B4168" s="3"/>
    </row>
    <row r="4169" spans="2:2">
      <c r="B4169" s="3"/>
    </row>
    <row r="4170" spans="2:2">
      <c r="B4170" s="3"/>
    </row>
    <row r="4171" spans="2:2">
      <c r="B4171" s="3"/>
    </row>
    <row r="4172" spans="2:2">
      <c r="B4172" s="3"/>
    </row>
    <row r="4173" spans="2:2">
      <c r="B4173" s="3"/>
    </row>
    <row r="4174" spans="2:2">
      <c r="B4174" s="3"/>
    </row>
    <row r="4175" spans="2:2">
      <c r="B4175" s="3"/>
    </row>
    <row r="4176" spans="2:2">
      <c r="B4176" s="3"/>
    </row>
    <row r="4177" spans="2:2">
      <c r="B4177" s="3"/>
    </row>
    <row r="4178" spans="2:2">
      <c r="B4178" s="3"/>
    </row>
    <row r="4179" spans="2:2">
      <c r="B4179" s="3"/>
    </row>
    <row r="4180" spans="2:2">
      <c r="B4180" s="3"/>
    </row>
    <row r="4181" spans="2:2">
      <c r="B4181" s="3"/>
    </row>
    <row r="4182" spans="2:2">
      <c r="B4182" s="3"/>
    </row>
    <row r="4183" spans="2:2">
      <c r="B4183" s="3"/>
    </row>
    <row r="4184" spans="2:2">
      <c r="B4184" s="3"/>
    </row>
    <row r="4185" spans="2:2">
      <c r="B4185" s="3"/>
    </row>
    <row r="4186" spans="2:2">
      <c r="B4186" s="3"/>
    </row>
    <row r="4187" spans="2:2">
      <c r="B4187" s="3"/>
    </row>
    <row r="4188" spans="2:2">
      <c r="B4188" s="3"/>
    </row>
    <row r="4189" spans="2:2">
      <c r="B4189" s="3"/>
    </row>
    <row r="4190" spans="2:2">
      <c r="B4190" s="3"/>
    </row>
    <row r="4191" spans="2:2">
      <c r="B4191" s="3"/>
    </row>
    <row r="4192" spans="2:2">
      <c r="B4192" s="3"/>
    </row>
    <row r="4193" spans="2:2">
      <c r="B4193" s="3"/>
    </row>
    <row r="4194" spans="2:2">
      <c r="B4194" s="3"/>
    </row>
    <row r="4195" spans="2:2">
      <c r="B4195" s="3"/>
    </row>
    <row r="4196" spans="2:2">
      <c r="B4196" s="3"/>
    </row>
    <row r="4197" spans="2:2">
      <c r="B4197" s="3"/>
    </row>
    <row r="4198" spans="2:2">
      <c r="B4198" s="3"/>
    </row>
    <row r="4199" spans="2:2">
      <c r="B4199" s="3"/>
    </row>
    <row r="4200" spans="2:2">
      <c r="B4200" s="3"/>
    </row>
    <row r="4201" spans="2:2">
      <c r="B4201" s="3"/>
    </row>
    <row r="4202" spans="2:2">
      <c r="B4202" s="3"/>
    </row>
    <row r="4203" spans="2:2">
      <c r="B4203" s="3"/>
    </row>
    <row r="4204" spans="2:2">
      <c r="B4204" s="3"/>
    </row>
    <row r="4205" spans="2:2">
      <c r="B4205" s="3"/>
    </row>
    <row r="4206" spans="2:2">
      <c r="B4206" s="3"/>
    </row>
    <row r="4207" spans="2:2">
      <c r="B4207" s="3"/>
    </row>
    <row r="4208" spans="2:2">
      <c r="B4208" s="3"/>
    </row>
    <row r="4209" spans="2:2">
      <c r="B4209" s="3"/>
    </row>
    <row r="4210" spans="2:2">
      <c r="B4210" s="3"/>
    </row>
    <row r="4211" spans="2:2">
      <c r="B4211" s="3"/>
    </row>
    <row r="4212" spans="2:2">
      <c r="B4212" s="3"/>
    </row>
    <row r="4213" spans="2:2">
      <c r="B4213" s="3"/>
    </row>
    <row r="4214" spans="2:2">
      <c r="B4214" s="3"/>
    </row>
    <row r="4215" spans="2:2">
      <c r="B4215" s="3"/>
    </row>
    <row r="4216" spans="2:2">
      <c r="B4216" s="3"/>
    </row>
    <row r="4217" spans="2:2">
      <c r="B4217" s="3"/>
    </row>
    <row r="4218" spans="2:2">
      <c r="B4218" s="3"/>
    </row>
    <row r="4219" spans="2:2">
      <c r="B4219" s="3"/>
    </row>
    <row r="4220" spans="2:2">
      <c r="B4220" s="3"/>
    </row>
    <row r="4221" spans="2:2">
      <c r="B4221" s="3"/>
    </row>
    <row r="4222" spans="2:2">
      <c r="B4222" s="3"/>
    </row>
    <row r="4223" spans="2:2">
      <c r="B4223" s="3"/>
    </row>
    <row r="4224" spans="2:2">
      <c r="B4224" s="3"/>
    </row>
    <row r="4225" spans="2:2">
      <c r="B4225" s="3"/>
    </row>
    <row r="4226" spans="2:2">
      <c r="B4226" s="3"/>
    </row>
    <row r="4227" spans="2:2">
      <c r="B4227" s="3"/>
    </row>
    <row r="4228" spans="2:2">
      <c r="B4228" s="3"/>
    </row>
    <row r="4229" spans="2:2">
      <c r="B4229" s="3"/>
    </row>
    <row r="4230" spans="2:2">
      <c r="B4230" s="3"/>
    </row>
    <row r="4231" spans="2:2">
      <c r="B4231" s="3"/>
    </row>
    <row r="4232" spans="2:2">
      <c r="B4232" s="3"/>
    </row>
    <row r="4233" spans="2:2">
      <c r="B4233" s="3"/>
    </row>
    <row r="4234" spans="2:2">
      <c r="B4234" s="3"/>
    </row>
    <row r="4235" spans="2:2">
      <c r="B4235" s="3"/>
    </row>
    <row r="4236" spans="2:2">
      <c r="B4236" s="3"/>
    </row>
    <row r="4237" spans="2:2">
      <c r="B4237" s="3"/>
    </row>
    <row r="4238" spans="2:2">
      <c r="B4238" s="3"/>
    </row>
    <row r="4239" spans="2:2">
      <c r="B4239" s="3"/>
    </row>
    <row r="4240" spans="2:2">
      <c r="B4240" s="3"/>
    </row>
    <row r="4241" spans="2:2">
      <c r="B4241" s="3"/>
    </row>
    <row r="4242" spans="2:2">
      <c r="B4242" s="3"/>
    </row>
    <row r="4243" spans="2:2">
      <c r="B4243" s="3"/>
    </row>
    <row r="4244" spans="2:2">
      <c r="B4244" s="3"/>
    </row>
    <row r="4245" spans="2:2">
      <c r="B4245" s="3"/>
    </row>
    <row r="4246" spans="2:2">
      <c r="B4246" s="3"/>
    </row>
    <row r="4247" spans="2:2">
      <c r="B4247" s="3"/>
    </row>
    <row r="4248" spans="2:2">
      <c r="B4248" s="3"/>
    </row>
    <row r="4249" spans="2:2">
      <c r="B4249" s="3"/>
    </row>
    <row r="4250" spans="2:2">
      <c r="B4250" s="3"/>
    </row>
    <row r="4251" spans="2:2">
      <c r="B4251" s="3"/>
    </row>
    <row r="4252" spans="2:2">
      <c r="B4252" s="3"/>
    </row>
    <row r="4253" spans="2:2">
      <c r="B4253" s="3"/>
    </row>
    <row r="4254" spans="2:2">
      <c r="B4254" s="3"/>
    </row>
    <row r="4255" spans="2:2">
      <c r="B4255" s="3"/>
    </row>
    <row r="4256" spans="2:2">
      <c r="B4256" s="3"/>
    </row>
    <row r="4257" spans="2:2">
      <c r="B4257" s="3"/>
    </row>
    <row r="4258" spans="2:2">
      <c r="B4258" s="3"/>
    </row>
    <row r="4259" spans="2:2">
      <c r="B4259" s="3"/>
    </row>
    <row r="4260" spans="2:2">
      <c r="B4260" s="3"/>
    </row>
    <row r="4261" spans="2:2">
      <c r="B4261" s="3"/>
    </row>
    <row r="4262" spans="2:2">
      <c r="B4262" s="3"/>
    </row>
    <row r="4263" spans="2:2">
      <c r="B4263" s="3"/>
    </row>
    <row r="4264" spans="2:2">
      <c r="B4264" s="3"/>
    </row>
    <row r="4265" spans="2:2">
      <c r="B4265" s="3"/>
    </row>
    <row r="4266" spans="2:2">
      <c r="B4266" s="3"/>
    </row>
    <row r="4267" spans="2:2">
      <c r="B4267" s="3"/>
    </row>
    <row r="4268" spans="2:2">
      <c r="B4268" s="3"/>
    </row>
    <row r="4269" spans="2:2">
      <c r="B4269" s="3"/>
    </row>
    <row r="4270" spans="2:2">
      <c r="B4270" s="3"/>
    </row>
    <row r="4271" spans="2:2">
      <c r="B4271" s="3"/>
    </row>
    <row r="4272" spans="2:2">
      <c r="B4272" s="3"/>
    </row>
    <row r="4273" spans="2:2">
      <c r="B4273" s="3"/>
    </row>
    <row r="4274" spans="2:2">
      <c r="B4274" s="3"/>
    </row>
    <row r="4275" spans="2:2">
      <c r="B4275" s="3"/>
    </row>
    <row r="4276" spans="2:2">
      <c r="B4276" s="3"/>
    </row>
    <row r="4277" spans="2:2">
      <c r="B4277" s="3"/>
    </row>
    <row r="4278" spans="2:2">
      <c r="B4278" s="3"/>
    </row>
    <row r="4279" spans="2:2">
      <c r="B4279" s="3"/>
    </row>
    <row r="4280" spans="2:2">
      <c r="B4280" s="3"/>
    </row>
    <row r="4281" spans="2:2">
      <c r="B4281" s="3"/>
    </row>
    <row r="4282" spans="2:2">
      <c r="B4282" s="3"/>
    </row>
    <row r="4283" spans="2:2">
      <c r="B4283" s="3"/>
    </row>
    <row r="4284" spans="2:2">
      <c r="B4284" s="3"/>
    </row>
    <row r="4285" spans="2:2">
      <c r="B4285" s="3"/>
    </row>
    <row r="4286" spans="2:2">
      <c r="B4286" s="3"/>
    </row>
    <row r="4287" spans="2:2">
      <c r="B4287" s="3"/>
    </row>
    <row r="4288" spans="2:2">
      <c r="B4288" s="3"/>
    </row>
    <row r="4289" spans="2:2">
      <c r="B4289" s="3"/>
    </row>
    <row r="4290" spans="2:2">
      <c r="B4290" s="3"/>
    </row>
    <row r="4291" spans="2:2">
      <c r="B4291" s="3"/>
    </row>
    <row r="4292" spans="2:2">
      <c r="B4292" s="3"/>
    </row>
    <row r="4293" spans="2:2">
      <c r="B4293" s="3"/>
    </row>
    <row r="4294" spans="2:2">
      <c r="B4294" s="3"/>
    </row>
    <row r="4295" spans="2:2">
      <c r="B4295" s="3"/>
    </row>
    <row r="4296" spans="2:2">
      <c r="B4296" s="3"/>
    </row>
    <row r="4297" spans="2:2">
      <c r="B4297" s="3"/>
    </row>
    <row r="4298" spans="2:2">
      <c r="B4298" s="3"/>
    </row>
    <row r="4299" spans="2:2">
      <c r="B4299" s="3"/>
    </row>
    <row r="4300" spans="2:2">
      <c r="B4300" s="3"/>
    </row>
    <row r="4301" spans="2:2">
      <c r="B4301" s="3"/>
    </row>
    <row r="4302" spans="2:2">
      <c r="B4302" s="3"/>
    </row>
    <row r="4303" spans="2:2">
      <c r="B4303" s="3"/>
    </row>
    <row r="4304" spans="2:2">
      <c r="B4304" s="3"/>
    </row>
    <row r="4305" spans="2:2">
      <c r="B4305" s="3"/>
    </row>
    <row r="4306" spans="2:2">
      <c r="B4306" s="3"/>
    </row>
    <row r="4307" spans="2:2">
      <c r="B4307" s="3"/>
    </row>
    <row r="4308" spans="2:2">
      <c r="B4308" s="3"/>
    </row>
    <row r="4309" spans="2:2">
      <c r="B4309" s="3"/>
    </row>
    <row r="4310" spans="2:2">
      <c r="B4310" s="3"/>
    </row>
    <row r="4311" spans="2:2">
      <c r="B4311" s="3"/>
    </row>
    <row r="4312" spans="2:2">
      <c r="B4312" s="3"/>
    </row>
    <row r="4313" spans="2:2">
      <c r="B4313" s="3"/>
    </row>
    <row r="4314" spans="2:2">
      <c r="B4314" s="3"/>
    </row>
    <row r="4315" spans="2:2">
      <c r="B4315" s="3"/>
    </row>
    <row r="4316" spans="2:2">
      <c r="B4316" s="3"/>
    </row>
    <row r="4317" spans="2:2">
      <c r="B4317" s="3"/>
    </row>
    <row r="4318" spans="2:2">
      <c r="B4318" s="3"/>
    </row>
    <row r="4319" spans="2:2">
      <c r="B4319" s="3"/>
    </row>
    <row r="4320" spans="2:2">
      <c r="B4320" s="3"/>
    </row>
    <row r="4321" spans="2:2">
      <c r="B4321" s="3"/>
    </row>
    <row r="4322" spans="2:2">
      <c r="B4322" s="3"/>
    </row>
    <row r="4323" spans="2:2">
      <c r="B4323" s="3"/>
    </row>
    <row r="4324" spans="2:2">
      <c r="B4324" s="3"/>
    </row>
    <row r="4325" spans="2:2">
      <c r="B4325" s="3"/>
    </row>
    <row r="4326" spans="2:2">
      <c r="B4326" s="3"/>
    </row>
    <row r="4327" spans="2:2">
      <c r="B4327" s="3"/>
    </row>
    <row r="4328" spans="2:2">
      <c r="B4328" s="3"/>
    </row>
    <row r="4329" spans="2:2">
      <c r="B4329" s="3"/>
    </row>
    <row r="4330" spans="2:2">
      <c r="B4330" s="3"/>
    </row>
    <row r="4331" spans="2:2">
      <c r="B4331" s="3"/>
    </row>
    <row r="4332" spans="2:2">
      <c r="B4332" s="3"/>
    </row>
    <row r="4333" spans="2:2">
      <c r="B4333" s="3"/>
    </row>
    <row r="4334" spans="2:2">
      <c r="B4334" s="3"/>
    </row>
    <row r="4335" spans="2:2">
      <c r="B4335" s="3"/>
    </row>
    <row r="4336" spans="2:2">
      <c r="B4336" s="3"/>
    </row>
    <row r="4337" spans="2:2">
      <c r="B4337" s="3"/>
    </row>
    <row r="4338" spans="2:2">
      <c r="B4338" s="3"/>
    </row>
    <row r="4339" spans="2:2">
      <c r="B4339" s="3"/>
    </row>
    <row r="4340" spans="2:2">
      <c r="B4340" s="3"/>
    </row>
    <row r="4341" spans="2:2">
      <c r="B4341" s="3"/>
    </row>
    <row r="4342" spans="2:2">
      <c r="B4342" s="3"/>
    </row>
    <row r="4343" spans="2:2">
      <c r="B4343" s="3"/>
    </row>
    <row r="4344" spans="2:2">
      <c r="B4344" s="3"/>
    </row>
    <row r="4345" spans="2:2">
      <c r="B4345" s="3"/>
    </row>
    <row r="4346" spans="2:2">
      <c r="B4346" s="3"/>
    </row>
    <row r="4347" spans="2:2">
      <c r="B4347" s="3"/>
    </row>
    <row r="4348" spans="2:2">
      <c r="B4348" s="3"/>
    </row>
    <row r="4349" spans="2:2">
      <c r="B4349" s="3"/>
    </row>
    <row r="4350" spans="2:2">
      <c r="B4350" s="3"/>
    </row>
    <row r="4351" spans="2:2">
      <c r="B4351" s="3"/>
    </row>
    <row r="4352" spans="2:2">
      <c r="B4352" s="3"/>
    </row>
    <row r="4353" spans="2:2">
      <c r="B4353" s="3"/>
    </row>
    <row r="4354" spans="2:2">
      <c r="B4354" s="3"/>
    </row>
    <row r="4355" spans="2:2">
      <c r="B4355" s="3"/>
    </row>
    <row r="4356" spans="2:2">
      <c r="B4356" s="3"/>
    </row>
    <row r="4357" spans="2:2">
      <c r="B4357" s="3"/>
    </row>
    <row r="4358" spans="2:2">
      <c r="B4358" s="3"/>
    </row>
    <row r="4359" spans="2:2">
      <c r="B4359" s="3"/>
    </row>
    <row r="4360" spans="2:2">
      <c r="B4360" s="3"/>
    </row>
    <row r="4361" spans="2:2">
      <c r="B4361" s="3"/>
    </row>
    <row r="4362" spans="2:2">
      <c r="B4362" s="3"/>
    </row>
    <row r="4363" spans="2:2">
      <c r="B4363" s="3"/>
    </row>
    <row r="4364" spans="2:2">
      <c r="B4364" s="3"/>
    </row>
    <row r="4365" spans="2:2">
      <c r="B4365" s="3"/>
    </row>
    <row r="4366" spans="2:2">
      <c r="B4366" s="3"/>
    </row>
    <row r="4367" spans="2:2">
      <c r="B4367" s="3"/>
    </row>
    <row r="4368" spans="2:2">
      <c r="B4368" s="3"/>
    </row>
    <row r="4369" spans="2:2">
      <c r="B4369" s="3"/>
    </row>
    <row r="4370" spans="2:2">
      <c r="B4370" s="3"/>
    </row>
    <row r="4371" spans="2:2">
      <c r="B4371" s="3"/>
    </row>
    <row r="4372" spans="2:2">
      <c r="B4372" s="3"/>
    </row>
    <row r="4373" spans="2:2">
      <c r="B4373" s="3"/>
    </row>
    <row r="4374" spans="2:2">
      <c r="B4374" s="3"/>
    </row>
    <row r="4375" spans="2:2">
      <c r="B4375" s="3"/>
    </row>
    <row r="4376" spans="2:2">
      <c r="B4376" s="3"/>
    </row>
    <row r="4377" spans="2:2">
      <c r="B4377" s="3"/>
    </row>
    <row r="4378" spans="2:2">
      <c r="B4378" s="3"/>
    </row>
    <row r="4379" spans="2:2">
      <c r="B4379" s="3"/>
    </row>
    <row r="4380" spans="2:2">
      <c r="B4380" s="3"/>
    </row>
    <row r="4381" spans="2:2">
      <c r="B4381" s="3"/>
    </row>
    <row r="4382" spans="2:2">
      <c r="B4382" s="3"/>
    </row>
    <row r="4383" spans="2:2">
      <c r="B4383" s="3"/>
    </row>
    <row r="4384" spans="2:2">
      <c r="B4384" s="3"/>
    </row>
    <row r="4385" spans="2:2">
      <c r="B4385" s="3"/>
    </row>
    <row r="4386" spans="2:2">
      <c r="B4386" s="3"/>
    </row>
    <row r="4387" spans="2:2">
      <c r="B4387" s="3"/>
    </row>
    <row r="4388" spans="2:2">
      <c r="B4388" s="3"/>
    </row>
    <row r="4389" spans="2:2">
      <c r="B4389" s="3"/>
    </row>
    <row r="4390" spans="2:2">
      <c r="B4390" s="3"/>
    </row>
    <row r="4391" spans="2:2">
      <c r="B4391" s="3"/>
    </row>
    <row r="4392" spans="2:2">
      <c r="B4392" s="3"/>
    </row>
    <row r="4393" spans="2:2">
      <c r="B4393" s="3"/>
    </row>
    <row r="4394" spans="2:2">
      <c r="B4394" s="3"/>
    </row>
    <row r="4395" spans="2:2">
      <c r="B4395" s="3"/>
    </row>
    <row r="4396" spans="2:2">
      <c r="B4396" s="3"/>
    </row>
    <row r="4397" spans="2:2">
      <c r="B4397" s="3"/>
    </row>
    <row r="4398" spans="2:2">
      <c r="B4398" s="3"/>
    </row>
    <row r="4399" spans="2:2">
      <c r="B4399" s="3"/>
    </row>
    <row r="4400" spans="2:2">
      <c r="B4400" s="3"/>
    </row>
    <row r="4401" spans="2:2">
      <c r="B4401" s="3"/>
    </row>
    <row r="4402" spans="2:2">
      <c r="B4402" s="3"/>
    </row>
    <row r="4403" spans="2:2">
      <c r="B4403" s="3"/>
    </row>
    <row r="4404" spans="2:2">
      <c r="B4404" s="3"/>
    </row>
    <row r="4405" spans="2:2">
      <c r="B4405" s="3"/>
    </row>
    <row r="4406" spans="2:2">
      <c r="B4406" s="3"/>
    </row>
    <row r="4407" spans="2:2">
      <c r="B4407" s="3"/>
    </row>
    <row r="4408" spans="2:2">
      <c r="B4408" s="3"/>
    </row>
    <row r="4409" spans="2:2">
      <c r="B4409" s="3"/>
    </row>
    <row r="4410" spans="2:2">
      <c r="B4410" s="3"/>
    </row>
    <row r="4411" spans="2:2">
      <c r="B4411" s="3"/>
    </row>
    <row r="4412" spans="2:2">
      <c r="B4412" s="3"/>
    </row>
    <row r="4413" spans="2:2">
      <c r="B4413" s="3"/>
    </row>
    <row r="4414" spans="2:2">
      <c r="B4414" s="3"/>
    </row>
    <row r="4415" spans="2:2">
      <c r="B4415" s="3"/>
    </row>
    <row r="4416" spans="2:2">
      <c r="B4416" s="3"/>
    </row>
    <row r="4417" spans="2:2">
      <c r="B4417" s="3"/>
    </row>
    <row r="4418" spans="2:2">
      <c r="B4418" s="3"/>
    </row>
    <row r="4419" spans="2:2">
      <c r="B4419" s="3"/>
    </row>
    <row r="4420" spans="2:2">
      <c r="B4420" s="3"/>
    </row>
    <row r="4421" spans="2:2">
      <c r="B4421" s="3"/>
    </row>
    <row r="4422" spans="2:2">
      <c r="B4422" s="3"/>
    </row>
    <row r="4423" spans="2:2">
      <c r="B4423" s="3"/>
    </row>
    <row r="4424" spans="2:2">
      <c r="B4424" s="3"/>
    </row>
    <row r="4425" spans="2:2">
      <c r="B4425" s="3"/>
    </row>
    <row r="4426" spans="2:2">
      <c r="B4426" s="3"/>
    </row>
    <row r="4427" spans="2:2">
      <c r="B4427" s="3"/>
    </row>
    <row r="4428" spans="2:2">
      <c r="B4428" s="3"/>
    </row>
    <row r="4429" spans="2:2">
      <c r="B4429" s="3"/>
    </row>
    <row r="4430" spans="2:2">
      <c r="B4430" s="3"/>
    </row>
    <row r="4431" spans="2:2">
      <c r="B4431" s="3"/>
    </row>
    <row r="4432" spans="2:2">
      <c r="B4432" s="3"/>
    </row>
    <row r="4433" spans="2:2">
      <c r="B4433" s="3"/>
    </row>
    <row r="4434" spans="2:2">
      <c r="B4434" s="3"/>
    </row>
    <row r="4435" spans="2:2">
      <c r="B4435" s="3"/>
    </row>
    <row r="4436" spans="2:2">
      <c r="B4436" s="3"/>
    </row>
    <row r="4437" spans="2:2">
      <c r="B4437" s="3"/>
    </row>
    <row r="4438" spans="2:2">
      <c r="B4438" s="3"/>
    </row>
    <row r="4439" spans="2:2">
      <c r="B4439" s="3"/>
    </row>
    <row r="4440" spans="2:2">
      <c r="B4440" s="3"/>
    </row>
    <row r="4441" spans="2:2">
      <c r="B4441" s="3"/>
    </row>
    <row r="4442" spans="2:2">
      <c r="B4442" s="3"/>
    </row>
    <row r="4443" spans="2:2">
      <c r="B4443" s="3"/>
    </row>
    <row r="4444" spans="2:2">
      <c r="B4444" s="3"/>
    </row>
    <row r="4445" spans="2:2">
      <c r="B4445" s="3"/>
    </row>
    <row r="4446" spans="2:2">
      <c r="B4446" s="3"/>
    </row>
    <row r="4447" spans="2:2">
      <c r="B4447" s="3"/>
    </row>
    <row r="4448" spans="2:2">
      <c r="B4448" s="3"/>
    </row>
    <row r="4449" spans="2:2">
      <c r="B4449" s="3"/>
    </row>
    <row r="4450" spans="2:2">
      <c r="B4450" s="3"/>
    </row>
    <row r="4451" spans="2:2">
      <c r="B4451" s="3"/>
    </row>
    <row r="4452" spans="2:2">
      <c r="B4452" s="3"/>
    </row>
    <row r="4453" spans="2:2">
      <c r="B4453" s="3"/>
    </row>
    <row r="4454" spans="2:2">
      <c r="B4454" s="3"/>
    </row>
    <row r="4455" spans="2:2">
      <c r="B4455" s="3"/>
    </row>
    <row r="4456" spans="2:2">
      <c r="B4456" s="3"/>
    </row>
    <row r="4457" spans="2:2">
      <c r="B4457" s="3"/>
    </row>
    <row r="4458" spans="2:2">
      <c r="B4458" s="3"/>
    </row>
    <row r="4459" spans="2:2">
      <c r="B4459" s="3"/>
    </row>
    <row r="4460" spans="2:2">
      <c r="B4460" s="3"/>
    </row>
    <row r="4461" spans="2:2">
      <c r="B4461" s="3"/>
    </row>
    <row r="4462" spans="2:2">
      <c r="B4462" s="3"/>
    </row>
    <row r="4463" spans="2:2">
      <c r="B4463" s="3"/>
    </row>
    <row r="4464" spans="2:2">
      <c r="B4464" s="3"/>
    </row>
    <row r="4465" spans="2:2">
      <c r="B4465" s="3"/>
    </row>
    <row r="4466" spans="2:2">
      <c r="B4466" s="3"/>
    </row>
    <row r="4467" spans="2:2">
      <c r="B4467" s="3"/>
    </row>
    <row r="4468" spans="2:2">
      <c r="B4468" s="3"/>
    </row>
    <row r="4469" spans="2:2">
      <c r="B4469" s="3"/>
    </row>
    <row r="4470" spans="2:2">
      <c r="B4470" s="3"/>
    </row>
    <row r="4471" spans="2:2">
      <c r="B4471" s="3"/>
    </row>
    <row r="4472" spans="2:2">
      <c r="B4472" s="3"/>
    </row>
    <row r="4473" spans="2:2">
      <c r="B4473" s="3"/>
    </row>
    <row r="4474" spans="2:2">
      <c r="B4474" s="3"/>
    </row>
    <row r="4475" spans="2:2">
      <c r="B4475" s="3"/>
    </row>
    <row r="4476" spans="2:2">
      <c r="B4476" s="3"/>
    </row>
    <row r="4477" spans="2:2">
      <c r="B4477" s="3"/>
    </row>
    <row r="4478" spans="2:2">
      <c r="B4478" s="3"/>
    </row>
    <row r="4479" spans="2:2">
      <c r="B4479" s="3"/>
    </row>
    <row r="4480" spans="2:2">
      <c r="B4480" s="3"/>
    </row>
    <row r="4481" spans="2:2">
      <c r="B4481" s="3"/>
    </row>
    <row r="4482" spans="2:2">
      <c r="B4482" s="3"/>
    </row>
    <row r="4483" spans="2:2">
      <c r="B4483" s="3"/>
    </row>
    <row r="4484" spans="2:2">
      <c r="B4484" s="3"/>
    </row>
    <row r="4485" spans="2:2">
      <c r="B4485" s="3"/>
    </row>
    <row r="4486" spans="2:2">
      <c r="B4486" s="3"/>
    </row>
    <row r="4487" spans="2:2">
      <c r="B4487" s="3"/>
    </row>
    <row r="4488" spans="2:2">
      <c r="B4488" s="3"/>
    </row>
    <row r="4489" spans="2:2">
      <c r="B4489" s="3"/>
    </row>
    <row r="4490" spans="2:2">
      <c r="B4490" s="3"/>
    </row>
    <row r="4491" spans="2:2">
      <c r="B4491" s="3"/>
    </row>
    <row r="4492" spans="2:2">
      <c r="B4492" s="3"/>
    </row>
    <row r="4493" spans="2:2">
      <c r="B4493" s="3"/>
    </row>
    <row r="4494" spans="2:2">
      <c r="B4494" s="3"/>
    </row>
    <row r="4495" spans="2:2">
      <c r="B4495" s="3"/>
    </row>
    <row r="4496" spans="2:2">
      <c r="B4496" s="3"/>
    </row>
    <row r="4497" spans="2:2">
      <c r="B4497" s="3"/>
    </row>
    <row r="4498" spans="2:2">
      <c r="B4498" s="3"/>
    </row>
    <row r="4499" spans="2:2">
      <c r="B4499" s="3"/>
    </row>
    <row r="4500" spans="2:2">
      <c r="B4500" s="3"/>
    </row>
    <row r="4501" spans="2:2">
      <c r="B4501" s="3"/>
    </row>
    <row r="4502" spans="2:2">
      <c r="B4502" s="3"/>
    </row>
    <row r="4503" spans="2:2">
      <c r="B4503" s="3"/>
    </row>
    <row r="4504" spans="2:2">
      <c r="B4504" s="3"/>
    </row>
    <row r="4505" spans="2:2">
      <c r="B4505" s="3"/>
    </row>
    <row r="4506" spans="2:2">
      <c r="B4506" s="3"/>
    </row>
    <row r="4507" spans="2:2">
      <c r="B4507" s="3"/>
    </row>
    <row r="4508" spans="2:2">
      <c r="B4508" s="3"/>
    </row>
    <row r="4509" spans="2:2">
      <c r="B4509" s="3"/>
    </row>
    <row r="4510" spans="2:2">
      <c r="B4510" s="3"/>
    </row>
    <row r="4511" spans="2:2">
      <c r="B4511" s="3"/>
    </row>
    <row r="4512" spans="2:2">
      <c r="B4512" s="3"/>
    </row>
    <row r="4513" spans="2:2">
      <c r="B4513" s="3"/>
    </row>
    <row r="4514" spans="2:2">
      <c r="B4514" s="3"/>
    </row>
    <row r="4515" spans="2:2">
      <c r="B4515" s="3"/>
    </row>
    <row r="4516" spans="2:2">
      <c r="B4516" s="3"/>
    </row>
    <row r="4517" spans="2:2">
      <c r="B4517" s="3"/>
    </row>
    <row r="4518" spans="2:2">
      <c r="B4518" s="3"/>
    </row>
    <row r="4519" spans="2:2">
      <c r="B4519" s="3"/>
    </row>
    <row r="4520" spans="2:2">
      <c r="B4520" s="3"/>
    </row>
    <row r="4521" spans="2:2">
      <c r="B4521" s="3"/>
    </row>
    <row r="4522" spans="2:2">
      <c r="B4522" s="3"/>
    </row>
    <row r="4523" spans="2:2">
      <c r="B4523" s="3"/>
    </row>
    <row r="4524" spans="2:2">
      <c r="B4524" s="3"/>
    </row>
    <row r="4525" spans="2:2">
      <c r="B4525" s="3"/>
    </row>
    <row r="4526" spans="2:2">
      <c r="B4526" s="3"/>
    </row>
    <row r="4527" spans="2:2">
      <c r="B4527" s="3"/>
    </row>
    <row r="4528" spans="2:2">
      <c r="B4528" s="3"/>
    </row>
    <row r="4529" spans="2:2">
      <c r="B4529" s="3"/>
    </row>
    <row r="4530" spans="2:2">
      <c r="B4530" s="3"/>
    </row>
    <row r="4531" spans="2:2">
      <c r="B4531" s="3"/>
    </row>
    <row r="4532" spans="2:2">
      <c r="B4532" s="3"/>
    </row>
    <row r="4533" spans="2:2">
      <c r="B4533" s="3"/>
    </row>
    <row r="4534" spans="2:2">
      <c r="B4534" s="3"/>
    </row>
    <row r="4535" spans="2:2">
      <c r="B4535" s="3"/>
    </row>
    <row r="4536" spans="2:2">
      <c r="B4536" s="3"/>
    </row>
    <row r="4537" spans="2:2">
      <c r="B4537" s="3"/>
    </row>
    <row r="4538" spans="2:2">
      <c r="B4538" s="3"/>
    </row>
    <row r="4539" spans="2:2">
      <c r="B4539" s="3"/>
    </row>
    <row r="4540" spans="2:2">
      <c r="B4540" s="3"/>
    </row>
    <row r="4541" spans="2:2">
      <c r="B4541" s="3"/>
    </row>
    <row r="4542" spans="2:2">
      <c r="B4542" s="3"/>
    </row>
    <row r="4543" spans="2:2">
      <c r="B4543" s="3"/>
    </row>
    <row r="4544" spans="2:2">
      <c r="B4544" s="3"/>
    </row>
    <row r="4545" spans="2:2">
      <c r="B4545" s="3"/>
    </row>
    <row r="4546" spans="2:2">
      <c r="B4546" s="3"/>
    </row>
    <row r="4547" spans="2:2">
      <c r="B4547" s="3"/>
    </row>
    <row r="4548" spans="2:2">
      <c r="B4548" s="3"/>
    </row>
    <row r="4549" spans="2:2">
      <c r="B4549" s="3"/>
    </row>
    <row r="4550" spans="2:2">
      <c r="B4550" s="3"/>
    </row>
    <row r="4551" spans="2:2">
      <c r="B4551" s="3"/>
    </row>
    <row r="4552" spans="2:2">
      <c r="B4552" s="3"/>
    </row>
    <row r="4553" spans="2:2">
      <c r="B4553" s="3"/>
    </row>
    <row r="4554" spans="2:2">
      <c r="B4554" s="3"/>
    </row>
    <row r="4555" spans="2:2">
      <c r="B4555" s="3"/>
    </row>
    <row r="4556" spans="2:2">
      <c r="B4556" s="3"/>
    </row>
    <row r="4557" spans="2:2">
      <c r="B4557" s="3"/>
    </row>
    <row r="4558" spans="2:2">
      <c r="B4558" s="3"/>
    </row>
    <row r="4559" spans="2:2">
      <c r="B4559" s="3"/>
    </row>
    <row r="4560" spans="2:2">
      <c r="B4560" s="3"/>
    </row>
    <row r="4561" spans="2:2">
      <c r="B4561" s="3"/>
    </row>
    <row r="4562" spans="2:2">
      <c r="B4562" s="3"/>
    </row>
    <row r="4563" spans="2:2">
      <c r="B4563" s="3"/>
    </row>
    <row r="4564" spans="2:2">
      <c r="B4564" s="3"/>
    </row>
    <row r="4565" spans="2:2">
      <c r="B4565" s="3"/>
    </row>
    <row r="4566" spans="2:2">
      <c r="B4566" s="3"/>
    </row>
    <row r="4567" spans="2:2">
      <c r="B4567" s="3"/>
    </row>
    <row r="4568" spans="2:2">
      <c r="B4568" s="3"/>
    </row>
    <row r="4569" spans="2:2">
      <c r="B4569" s="3"/>
    </row>
    <row r="4570" spans="2:2">
      <c r="B4570" s="3"/>
    </row>
    <row r="4571" spans="2:2">
      <c r="B4571" s="3"/>
    </row>
    <row r="4572" spans="2:2">
      <c r="B4572" s="3"/>
    </row>
    <row r="4573" spans="2:2">
      <c r="B4573" s="3"/>
    </row>
    <row r="4574" spans="2:2">
      <c r="B4574" s="3"/>
    </row>
    <row r="4575" spans="2:2">
      <c r="B4575" s="3"/>
    </row>
    <row r="4576" spans="2:2">
      <c r="B4576" s="3"/>
    </row>
    <row r="4577" spans="2:2">
      <c r="B4577" s="3"/>
    </row>
    <row r="4578" spans="2:2">
      <c r="B4578" s="3"/>
    </row>
    <row r="4579" spans="2:2">
      <c r="B4579" s="3"/>
    </row>
    <row r="4580" spans="2:2">
      <c r="B4580" s="3"/>
    </row>
    <row r="4581" spans="2:2">
      <c r="B4581" s="3"/>
    </row>
    <row r="4582" spans="2:2">
      <c r="B4582" s="3"/>
    </row>
    <row r="4583" spans="2:2">
      <c r="B4583" s="3"/>
    </row>
    <row r="4584" spans="2:2">
      <c r="B4584" s="3"/>
    </row>
    <row r="4585" spans="2:2">
      <c r="B4585" s="3"/>
    </row>
    <row r="4586" spans="2:2">
      <c r="B4586" s="3"/>
    </row>
    <row r="4587" spans="2:2">
      <c r="B4587" s="3"/>
    </row>
    <row r="4588" spans="2:2">
      <c r="B4588" s="3"/>
    </row>
    <row r="4589" spans="2:2">
      <c r="B4589" s="3"/>
    </row>
    <row r="4590" spans="2:2">
      <c r="B4590" s="3"/>
    </row>
    <row r="4591" spans="2:2">
      <c r="B4591" s="3"/>
    </row>
    <row r="4592" spans="2:2">
      <c r="B4592" s="3"/>
    </row>
    <row r="4593" spans="2:2">
      <c r="B4593" s="3"/>
    </row>
    <row r="4594" spans="2:2">
      <c r="B4594" s="3"/>
    </row>
    <row r="4595" spans="2:2">
      <c r="B4595" s="3"/>
    </row>
    <row r="4596" spans="2:2">
      <c r="B4596" s="3"/>
    </row>
    <row r="4597" spans="2:2">
      <c r="B4597" s="3"/>
    </row>
    <row r="4598" spans="2:2">
      <c r="B4598" s="3"/>
    </row>
    <row r="4599" spans="2:2">
      <c r="B4599" s="3"/>
    </row>
    <row r="4600" spans="2:2">
      <c r="B4600" s="3"/>
    </row>
    <row r="4601" spans="2:2">
      <c r="B4601" s="3"/>
    </row>
    <row r="4602" spans="2:2">
      <c r="B4602" s="3"/>
    </row>
    <row r="4603" spans="2:2">
      <c r="B4603" s="3"/>
    </row>
    <row r="4604" spans="2:2">
      <c r="B4604" s="3"/>
    </row>
    <row r="4605" spans="2:2">
      <c r="B4605" s="3"/>
    </row>
    <row r="4606" spans="2:2">
      <c r="B4606" s="3"/>
    </row>
    <row r="4607" spans="2:2">
      <c r="B4607" s="3"/>
    </row>
    <row r="4608" spans="2:2">
      <c r="B4608" s="3"/>
    </row>
    <row r="4609" spans="2:2">
      <c r="B4609" s="3"/>
    </row>
    <row r="4610" spans="2:2">
      <c r="B4610" s="3"/>
    </row>
    <row r="4611" spans="2:2">
      <c r="B4611" s="3"/>
    </row>
    <row r="4612" spans="2:2">
      <c r="B4612" s="3"/>
    </row>
    <row r="4613" spans="2:2">
      <c r="B4613" s="3"/>
    </row>
    <row r="4614" spans="2:2">
      <c r="B4614" s="3"/>
    </row>
    <row r="4615" spans="2:2">
      <c r="B4615" s="3"/>
    </row>
    <row r="4616" spans="2:2">
      <c r="B4616" s="3"/>
    </row>
    <row r="4617" spans="2:2">
      <c r="B4617" s="3"/>
    </row>
    <row r="4618" spans="2:2">
      <c r="B4618" s="3"/>
    </row>
    <row r="4619" spans="2:2">
      <c r="B4619" s="3"/>
    </row>
    <row r="4620" spans="2:2">
      <c r="B4620" s="3"/>
    </row>
    <row r="4621" spans="2:2">
      <c r="B4621" s="3"/>
    </row>
    <row r="4622" spans="2:2">
      <c r="B4622" s="3"/>
    </row>
    <row r="4623" spans="2:2">
      <c r="B4623" s="3"/>
    </row>
    <row r="4624" spans="2:2">
      <c r="B4624" s="3"/>
    </row>
    <row r="4625" spans="2:2">
      <c r="B4625" s="3"/>
    </row>
    <row r="4626" spans="2:2">
      <c r="B4626" s="3"/>
    </row>
    <row r="4627" spans="2:2">
      <c r="B4627" s="3"/>
    </row>
    <row r="4628" spans="2:2">
      <c r="B4628" s="3"/>
    </row>
    <row r="4629" spans="2:2">
      <c r="B4629" s="3"/>
    </row>
    <row r="4630" spans="2:2">
      <c r="B4630" s="3"/>
    </row>
    <row r="4631" spans="2:2">
      <c r="B4631" s="3"/>
    </row>
    <row r="4632" spans="2:2">
      <c r="B4632" s="3"/>
    </row>
    <row r="4633" spans="2:2">
      <c r="B4633" s="3"/>
    </row>
    <row r="4634" spans="2:2">
      <c r="B4634" s="3"/>
    </row>
    <row r="4635" spans="2:2">
      <c r="B4635" s="3"/>
    </row>
    <row r="4636" spans="2:2">
      <c r="B4636" s="3"/>
    </row>
    <row r="4637" spans="2:2">
      <c r="B4637" s="3"/>
    </row>
    <row r="4638" spans="2:2">
      <c r="B4638" s="3"/>
    </row>
    <row r="4639" spans="2:2">
      <c r="B4639" s="3"/>
    </row>
    <row r="4640" spans="2:2">
      <c r="B4640" s="3"/>
    </row>
    <row r="4641" spans="2:2">
      <c r="B4641" s="3"/>
    </row>
    <row r="4642" spans="2:2">
      <c r="B4642" s="3"/>
    </row>
    <row r="4643" spans="2:2">
      <c r="B4643" s="3"/>
    </row>
    <row r="4644" spans="2:2">
      <c r="B4644" s="3"/>
    </row>
    <row r="4645" spans="2:2">
      <c r="B4645" s="3"/>
    </row>
    <row r="4646" spans="2:2">
      <c r="B4646" s="3"/>
    </row>
    <row r="4647" spans="2:2">
      <c r="B4647" s="3"/>
    </row>
    <row r="4648" spans="2:2">
      <c r="B4648" s="3"/>
    </row>
    <row r="4649" spans="2:2">
      <c r="B4649" s="3"/>
    </row>
    <row r="4650" spans="2:2">
      <c r="B4650" s="3"/>
    </row>
    <row r="4651" spans="2:2">
      <c r="B4651" s="3"/>
    </row>
    <row r="4652" spans="2:2">
      <c r="B4652" s="3"/>
    </row>
    <row r="4653" spans="2:2">
      <c r="B4653" s="3"/>
    </row>
    <row r="4654" spans="2:2">
      <c r="B4654" s="3"/>
    </row>
    <row r="4655" spans="2:2">
      <c r="B4655" s="3"/>
    </row>
    <row r="4656" spans="2:2">
      <c r="B4656" s="3"/>
    </row>
    <row r="4657" spans="2:2">
      <c r="B4657" s="3"/>
    </row>
    <row r="4658" spans="2:2">
      <c r="B4658" s="3"/>
    </row>
    <row r="4659" spans="2:2">
      <c r="B4659" s="3"/>
    </row>
    <row r="4660" spans="2:2">
      <c r="B4660" s="3"/>
    </row>
    <row r="4661" spans="2:2">
      <c r="B4661" s="3"/>
    </row>
    <row r="4662" spans="2:2">
      <c r="B4662" s="3"/>
    </row>
    <row r="4663" spans="2:2">
      <c r="B4663" s="3"/>
    </row>
    <row r="4664" spans="2:2">
      <c r="B4664" s="3"/>
    </row>
    <row r="4665" spans="2:2">
      <c r="B4665" s="3"/>
    </row>
    <row r="4666" spans="2:2">
      <c r="B4666" s="3"/>
    </row>
    <row r="4667" spans="2:2">
      <c r="B4667" s="3"/>
    </row>
    <row r="4668" spans="2:2">
      <c r="B4668" s="3"/>
    </row>
    <row r="4669" spans="2:2">
      <c r="B4669" s="3"/>
    </row>
    <row r="4670" spans="2:2">
      <c r="B4670" s="3"/>
    </row>
    <row r="4671" spans="2:2">
      <c r="B4671" s="3"/>
    </row>
    <row r="4672" spans="2:2">
      <c r="B4672" s="3"/>
    </row>
    <row r="4673" spans="2:2">
      <c r="B4673" s="3"/>
    </row>
    <row r="4674" spans="2:2">
      <c r="B4674" s="3"/>
    </row>
    <row r="4675" spans="2:2">
      <c r="B4675" s="3"/>
    </row>
    <row r="4676" spans="2:2">
      <c r="B4676" s="3"/>
    </row>
    <row r="4677" spans="2:2">
      <c r="B4677" s="3"/>
    </row>
    <row r="4678" spans="2:2">
      <c r="B4678" s="3"/>
    </row>
    <row r="4679" spans="2:2">
      <c r="B4679" s="3"/>
    </row>
    <row r="4680" spans="2:2">
      <c r="B4680" s="3"/>
    </row>
    <row r="4681" spans="2:2">
      <c r="B4681" s="3"/>
    </row>
    <row r="4682" spans="2:2">
      <c r="B4682" s="3"/>
    </row>
    <row r="4683" spans="2:2">
      <c r="B4683" s="3"/>
    </row>
    <row r="4684" spans="2:2">
      <c r="B4684" s="3"/>
    </row>
    <row r="4685" spans="2:2">
      <c r="B4685" s="3"/>
    </row>
    <row r="4686" spans="2:2">
      <c r="B4686" s="3"/>
    </row>
    <row r="4687" spans="2:2">
      <c r="B4687" s="3"/>
    </row>
    <row r="4688" spans="2:2">
      <c r="B4688" s="3"/>
    </row>
    <row r="4689" spans="2:2">
      <c r="B4689" s="3"/>
    </row>
    <row r="4690" spans="2:2">
      <c r="B4690" s="3"/>
    </row>
    <row r="4691" spans="2:2">
      <c r="B4691" s="3"/>
    </row>
    <row r="4692" spans="2:2">
      <c r="B4692" s="3"/>
    </row>
    <row r="4693" spans="2:2">
      <c r="B4693" s="3"/>
    </row>
    <row r="4694" spans="2:2">
      <c r="B4694" s="3"/>
    </row>
    <row r="4695" spans="2:2">
      <c r="B4695" s="3"/>
    </row>
    <row r="4696" spans="2:2">
      <c r="B4696" s="3"/>
    </row>
    <row r="4697" spans="2:2">
      <c r="B4697" s="3"/>
    </row>
    <row r="4698" spans="2:2">
      <c r="B4698" s="3"/>
    </row>
    <row r="4699" spans="2:2">
      <c r="B4699" s="3"/>
    </row>
    <row r="4700" spans="2:2">
      <c r="B4700" s="3"/>
    </row>
    <row r="4701" spans="2:2">
      <c r="B4701" s="3"/>
    </row>
    <row r="4702" spans="2:2">
      <c r="B4702" s="3"/>
    </row>
    <row r="4703" spans="2:2">
      <c r="B4703" s="3"/>
    </row>
    <row r="4704" spans="2:2">
      <c r="B4704" s="3"/>
    </row>
    <row r="4705" spans="2:2">
      <c r="B4705" s="3"/>
    </row>
    <row r="4706" spans="2:2">
      <c r="B4706" s="3"/>
    </row>
    <row r="4707" spans="2:2">
      <c r="B4707" s="3"/>
    </row>
    <row r="4708" spans="2:2">
      <c r="B4708" s="3"/>
    </row>
    <row r="4709" spans="2:2">
      <c r="B4709" s="3"/>
    </row>
    <row r="4710" spans="2:2">
      <c r="B4710" s="3"/>
    </row>
    <row r="4711" spans="2:2">
      <c r="B4711" s="3"/>
    </row>
    <row r="4712" spans="2:2">
      <c r="B4712" s="3"/>
    </row>
    <row r="4713" spans="2:2">
      <c r="B4713" s="3"/>
    </row>
    <row r="4714" spans="2:2">
      <c r="B4714" s="3"/>
    </row>
    <row r="4715" spans="2:2">
      <c r="B4715" s="3"/>
    </row>
    <row r="4716" spans="2:2">
      <c r="B4716" s="3"/>
    </row>
    <row r="4717" spans="2:2">
      <c r="B4717" s="3"/>
    </row>
    <row r="4718" spans="2:2">
      <c r="B4718" s="3"/>
    </row>
    <row r="4719" spans="2:2">
      <c r="B4719" s="3"/>
    </row>
    <row r="4720" spans="2:2">
      <c r="B4720" s="3"/>
    </row>
    <row r="4721" spans="2:2">
      <c r="B4721" s="3"/>
    </row>
    <row r="4722" spans="2:2">
      <c r="B4722" s="3"/>
    </row>
    <row r="4723" spans="2:2">
      <c r="B4723" s="3"/>
    </row>
    <row r="4724" spans="2:2">
      <c r="B4724" s="3"/>
    </row>
    <row r="4725" spans="2:2">
      <c r="B4725" s="3"/>
    </row>
    <row r="4726" spans="2:2">
      <c r="B4726" s="3"/>
    </row>
    <row r="4727" spans="2:2">
      <c r="B4727" s="3"/>
    </row>
    <row r="4728" spans="2:2">
      <c r="B4728" s="3"/>
    </row>
    <row r="4729" spans="2:2">
      <c r="B4729" s="3"/>
    </row>
    <row r="4730" spans="2:2">
      <c r="B4730" s="3"/>
    </row>
    <row r="4731" spans="2:2">
      <c r="B4731" s="3"/>
    </row>
    <row r="4732" spans="2:2">
      <c r="B4732" s="3"/>
    </row>
    <row r="4733" spans="2:2">
      <c r="B4733" s="3"/>
    </row>
    <row r="4734" spans="2:2">
      <c r="B4734" s="3"/>
    </row>
    <row r="4735" spans="2:2">
      <c r="B4735" s="3"/>
    </row>
    <row r="4736" spans="2:2">
      <c r="B4736" s="3"/>
    </row>
    <row r="4737" spans="2:2">
      <c r="B4737" s="3"/>
    </row>
    <row r="4738" spans="2:2">
      <c r="B4738" s="3"/>
    </row>
    <row r="4739" spans="2:2">
      <c r="B4739" s="3"/>
    </row>
    <row r="4740" spans="2:2">
      <c r="B4740" s="3"/>
    </row>
    <row r="4741" spans="2:2">
      <c r="B4741" s="3"/>
    </row>
    <row r="4742" spans="2:2">
      <c r="B4742" s="3"/>
    </row>
    <row r="4743" spans="2:2">
      <c r="B4743" s="3"/>
    </row>
    <row r="4744" spans="2:2">
      <c r="B4744" s="3"/>
    </row>
    <row r="4745" spans="2:2">
      <c r="B4745" s="3"/>
    </row>
    <row r="4746" spans="2:2">
      <c r="B4746" s="3"/>
    </row>
    <row r="4747" spans="2:2">
      <c r="B4747" s="3"/>
    </row>
    <row r="4748" spans="2:2">
      <c r="B4748" s="3"/>
    </row>
    <row r="4749" spans="2:2">
      <c r="B4749" s="3"/>
    </row>
    <row r="4750" spans="2:2">
      <c r="B4750" s="3"/>
    </row>
    <row r="4751" spans="2:2">
      <c r="B4751" s="3"/>
    </row>
    <row r="4752" spans="2:2">
      <c r="B4752" s="3"/>
    </row>
    <row r="4753" spans="2:2">
      <c r="B4753" s="3"/>
    </row>
    <row r="4754" spans="2:2">
      <c r="B4754" s="3"/>
    </row>
    <row r="4755" spans="2:2">
      <c r="B4755" s="3"/>
    </row>
    <row r="4756" spans="2:2">
      <c r="B4756" s="3"/>
    </row>
    <row r="4757" spans="2:2">
      <c r="B4757" s="3"/>
    </row>
    <row r="4758" spans="2:2">
      <c r="B4758" s="3"/>
    </row>
    <row r="4759" spans="2:2">
      <c r="B4759" s="3"/>
    </row>
    <row r="4760" spans="2:2">
      <c r="B4760" s="3"/>
    </row>
    <row r="4761" spans="2:2">
      <c r="B4761" s="3"/>
    </row>
    <row r="4762" spans="2:2">
      <c r="B4762" s="3"/>
    </row>
    <row r="4763" spans="2:2">
      <c r="B4763" s="3"/>
    </row>
    <row r="4764" spans="2:2">
      <c r="B4764" s="3"/>
    </row>
    <row r="4765" spans="2:2">
      <c r="B4765" s="3"/>
    </row>
    <row r="4766" spans="2:2">
      <c r="B4766" s="3"/>
    </row>
    <row r="4767" spans="2:2">
      <c r="B4767" s="3"/>
    </row>
    <row r="4768" spans="2:2">
      <c r="B4768" s="3"/>
    </row>
    <row r="4769" spans="2:2">
      <c r="B4769" s="3"/>
    </row>
    <row r="4770" spans="2:2">
      <c r="B4770" s="3"/>
    </row>
    <row r="4771" spans="2:2">
      <c r="B4771" s="3"/>
    </row>
    <row r="4772" spans="2:2">
      <c r="B4772" s="3"/>
    </row>
    <row r="4773" spans="2:2">
      <c r="B4773" s="3"/>
    </row>
    <row r="4774" spans="2:2">
      <c r="B4774" s="3"/>
    </row>
    <row r="4775" spans="2:2">
      <c r="B4775" s="3"/>
    </row>
    <row r="4776" spans="2:2">
      <c r="B4776" s="3"/>
    </row>
    <row r="4777" spans="2:2">
      <c r="B4777" s="3"/>
    </row>
    <row r="4778" spans="2:2">
      <c r="B4778" s="3"/>
    </row>
    <row r="4779" spans="2:2">
      <c r="B4779" s="3"/>
    </row>
    <row r="4780" spans="2:2">
      <c r="B4780" s="3"/>
    </row>
    <row r="4781" spans="2:2">
      <c r="B4781" s="3"/>
    </row>
    <row r="4782" spans="2:2">
      <c r="B4782" s="3"/>
    </row>
    <row r="4783" spans="2:2">
      <c r="B4783" s="3"/>
    </row>
    <row r="4784" spans="2:2">
      <c r="B4784" s="3"/>
    </row>
    <row r="4785" spans="2:2">
      <c r="B4785" s="3"/>
    </row>
    <row r="4786" spans="2:2">
      <c r="B4786" s="3"/>
    </row>
    <row r="4787" spans="2:2">
      <c r="B4787" s="3"/>
    </row>
    <row r="4788" spans="2:2">
      <c r="B4788" s="3"/>
    </row>
    <row r="4789" spans="2:2">
      <c r="B4789" s="3"/>
    </row>
    <row r="4790" spans="2:2">
      <c r="B4790" s="3"/>
    </row>
    <row r="4791" spans="2:2">
      <c r="B4791" s="3"/>
    </row>
    <row r="4792" spans="2:2">
      <c r="B4792" s="3"/>
    </row>
    <row r="4793" spans="2:2">
      <c r="B4793" s="3"/>
    </row>
    <row r="4794" spans="2:2">
      <c r="B4794" s="3"/>
    </row>
    <row r="4795" spans="2:2">
      <c r="B4795" s="3"/>
    </row>
    <row r="4796" spans="2:2">
      <c r="B4796" s="3"/>
    </row>
    <row r="4797" spans="2:2">
      <c r="B4797" s="3"/>
    </row>
    <row r="4798" spans="2:2">
      <c r="B4798" s="3"/>
    </row>
    <row r="4799" spans="2:2">
      <c r="B4799" s="3"/>
    </row>
    <row r="4800" spans="2:2">
      <c r="B4800" s="3"/>
    </row>
    <row r="4801" spans="2:2">
      <c r="B4801" s="3"/>
    </row>
    <row r="4802" spans="2:2">
      <c r="B4802" s="3"/>
    </row>
    <row r="4803" spans="2:2">
      <c r="B4803" s="3"/>
    </row>
    <row r="4804" spans="2:2">
      <c r="B4804" s="3"/>
    </row>
    <row r="4805" spans="2:2">
      <c r="B4805" s="3"/>
    </row>
    <row r="4806" spans="2:2">
      <c r="B4806" s="3"/>
    </row>
    <row r="4807" spans="2:2">
      <c r="B4807" s="3"/>
    </row>
    <row r="4808" spans="2:2">
      <c r="B4808" s="3"/>
    </row>
    <row r="4809" spans="2:2">
      <c r="B4809" s="3"/>
    </row>
    <row r="4810" spans="2:2">
      <c r="B4810" s="3"/>
    </row>
    <row r="4811" spans="2:2">
      <c r="B4811" s="3"/>
    </row>
    <row r="4812" spans="2:2">
      <c r="B4812" s="3"/>
    </row>
    <row r="4813" spans="2:2">
      <c r="B4813" s="3"/>
    </row>
    <row r="4814" spans="2:2">
      <c r="B4814" s="3"/>
    </row>
    <row r="4815" spans="2:2">
      <c r="B4815" s="3"/>
    </row>
    <row r="4816" spans="2:2">
      <c r="B4816" s="3"/>
    </row>
    <row r="4817" spans="2:2">
      <c r="B4817" s="3"/>
    </row>
    <row r="4818" spans="2:2">
      <c r="B4818" s="3"/>
    </row>
    <row r="4819" spans="2:2">
      <c r="B4819" s="3"/>
    </row>
    <row r="4820" spans="2:2">
      <c r="B4820" s="3"/>
    </row>
    <row r="4821" spans="2:2">
      <c r="B4821" s="3"/>
    </row>
    <row r="4822" spans="2:2">
      <c r="B4822" s="3"/>
    </row>
    <row r="4823" spans="2:2">
      <c r="B4823" s="3"/>
    </row>
    <row r="4824" spans="2:2">
      <c r="B4824" s="3"/>
    </row>
    <row r="4825" spans="2:2">
      <c r="B4825" s="3"/>
    </row>
    <row r="4826" spans="2:2">
      <c r="B4826" s="3"/>
    </row>
    <row r="4827" spans="2:2">
      <c r="B4827" s="3"/>
    </row>
    <row r="4828" spans="2:2">
      <c r="B4828" s="3"/>
    </row>
    <row r="4829" spans="2:2">
      <c r="B4829" s="3"/>
    </row>
    <row r="4830" spans="2:2">
      <c r="B4830" s="3"/>
    </row>
    <row r="4831" spans="2:2">
      <c r="B4831" s="3"/>
    </row>
    <row r="4832" spans="2:2">
      <c r="B4832" s="3"/>
    </row>
    <row r="4833" spans="2:2">
      <c r="B4833" s="3"/>
    </row>
    <row r="4834" spans="2:2">
      <c r="B4834" s="3"/>
    </row>
    <row r="4835" spans="2:2">
      <c r="B4835" s="3"/>
    </row>
    <row r="4836" spans="2:2">
      <c r="B4836" s="3"/>
    </row>
    <row r="4837" spans="2:2">
      <c r="B4837" s="3"/>
    </row>
    <row r="4838" spans="2:2">
      <c r="B4838" s="3"/>
    </row>
    <row r="4839" spans="2:2">
      <c r="B4839" s="3"/>
    </row>
    <row r="4840" spans="2:2">
      <c r="B4840" s="3"/>
    </row>
    <row r="4841" spans="2:2">
      <c r="B4841" s="3"/>
    </row>
    <row r="4842" spans="2:2">
      <c r="B4842" s="3"/>
    </row>
    <row r="4843" spans="2:2">
      <c r="B4843" s="3"/>
    </row>
    <row r="4844" spans="2:2">
      <c r="B4844" s="3"/>
    </row>
    <row r="4845" spans="2:2">
      <c r="B4845" s="3"/>
    </row>
    <row r="4846" spans="2:2">
      <c r="B4846" s="3"/>
    </row>
    <row r="4847" spans="2:2">
      <c r="B4847" s="3"/>
    </row>
    <row r="4848" spans="2:2">
      <c r="B4848" s="3"/>
    </row>
    <row r="4849" spans="2:2">
      <c r="B4849" s="3"/>
    </row>
    <row r="4850" spans="2:2">
      <c r="B4850" s="3"/>
    </row>
    <row r="4851" spans="2:2">
      <c r="B4851" s="3"/>
    </row>
    <row r="4852" spans="2:2">
      <c r="B4852" s="3"/>
    </row>
    <row r="4853" spans="2:2">
      <c r="B4853" s="3"/>
    </row>
    <row r="4854" spans="2:2">
      <c r="B4854" s="3"/>
    </row>
    <row r="4855" spans="2:2">
      <c r="B4855" s="3"/>
    </row>
    <row r="4856" spans="2:2">
      <c r="B4856" s="3"/>
    </row>
    <row r="4857" spans="2:2">
      <c r="B4857" s="3"/>
    </row>
    <row r="4858" spans="2:2">
      <c r="B4858" s="3"/>
    </row>
    <row r="4859" spans="2:2">
      <c r="B4859" s="3"/>
    </row>
    <row r="4860" spans="2:2">
      <c r="B4860" s="3"/>
    </row>
    <row r="4861" spans="2:2">
      <c r="B4861" s="3"/>
    </row>
    <row r="4862" spans="2:2">
      <c r="B4862" s="3"/>
    </row>
    <row r="4863" spans="2:2">
      <c r="B4863" s="3"/>
    </row>
    <row r="4864" spans="2:2">
      <c r="B4864" s="3"/>
    </row>
    <row r="4865" spans="2:2">
      <c r="B4865" s="3"/>
    </row>
    <row r="4866" spans="2:2">
      <c r="B4866" s="3"/>
    </row>
    <row r="4867" spans="2:2">
      <c r="B4867" s="3"/>
    </row>
    <row r="4868" spans="2:2">
      <c r="B4868" s="3"/>
    </row>
    <row r="4869" spans="2:2">
      <c r="B4869" s="3"/>
    </row>
    <row r="4870" spans="2:2">
      <c r="B4870" s="3"/>
    </row>
    <row r="4871" spans="2:2">
      <c r="B4871" s="3"/>
    </row>
    <row r="4872" spans="2:2">
      <c r="B4872" s="3"/>
    </row>
    <row r="4873" spans="2:2">
      <c r="B4873" s="3"/>
    </row>
    <row r="4874" spans="2:2">
      <c r="B4874" s="3"/>
    </row>
    <row r="4875" spans="2:2">
      <c r="B4875" s="3"/>
    </row>
    <row r="4876" spans="2:2">
      <c r="B4876" s="3"/>
    </row>
    <row r="4877" spans="2:2">
      <c r="B4877" s="3"/>
    </row>
    <row r="4878" spans="2:2">
      <c r="B4878" s="3"/>
    </row>
    <row r="4879" spans="2:2">
      <c r="B4879" s="3"/>
    </row>
    <row r="4880" spans="2:2">
      <c r="B4880" s="3"/>
    </row>
    <row r="4881" spans="2:2">
      <c r="B4881" s="3"/>
    </row>
    <row r="4882" spans="2:2">
      <c r="B4882" s="3"/>
    </row>
    <row r="4883" spans="2:2">
      <c r="B4883" s="3"/>
    </row>
    <row r="4884" spans="2:2">
      <c r="B4884" s="3"/>
    </row>
    <row r="4885" spans="2:2">
      <c r="B4885" s="3"/>
    </row>
    <row r="4886" spans="2:2">
      <c r="B4886" s="3"/>
    </row>
    <row r="4887" spans="2:2">
      <c r="B4887" s="3"/>
    </row>
    <row r="4888" spans="2:2">
      <c r="B4888" s="3"/>
    </row>
    <row r="4889" spans="2:2">
      <c r="B4889" s="3"/>
    </row>
    <row r="4890" spans="2:2">
      <c r="B4890" s="3"/>
    </row>
    <row r="4891" spans="2:2">
      <c r="B4891" s="3"/>
    </row>
    <row r="4892" spans="2:2">
      <c r="B4892" s="3"/>
    </row>
    <row r="4893" spans="2:2">
      <c r="B4893" s="3"/>
    </row>
    <row r="4894" spans="2:2">
      <c r="B4894" s="3"/>
    </row>
    <row r="4895" spans="2:2">
      <c r="B4895" s="3"/>
    </row>
    <row r="4896" spans="2:2">
      <c r="B4896" s="3"/>
    </row>
    <row r="4897" spans="2:2">
      <c r="B4897" s="3"/>
    </row>
    <row r="4898" spans="2:2">
      <c r="B4898" s="3"/>
    </row>
    <row r="4899" spans="2:2">
      <c r="B4899" s="3"/>
    </row>
    <row r="4900" spans="2:2">
      <c r="B4900" s="3"/>
    </row>
    <row r="4901" spans="2:2">
      <c r="B4901" s="3"/>
    </row>
    <row r="4902" spans="2:2">
      <c r="B4902" s="3"/>
    </row>
    <row r="4903" spans="2:2">
      <c r="B4903" s="3"/>
    </row>
    <row r="4904" spans="2:2">
      <c r="B4904" s="3"/>
    </row>
    <row r="4905" spans="2:2">
      <c r="B4905" s="3"/>
    </row>
    <row r="4906" spans="2:2">
      <c r="B4906" s="3"/>
    </row>
    <row r="4907" spans="2:2">
      <c r="B4907" s="3"/>
    </row>
    <row r="4908" spans="2:2">
      <c r="B4908" s="3"/>
    </row>
    <row r="4909" spans="2:2">
      <c r="B4909" s="3"/>
    </row>
    <row r="4910" spans="2:2">
      <c r="B4910" s="3"/>
    </row>
    <row r="4911" spans="2:2">
      <c r="B4911" s="3"/>
    </row>
    <row r="4912" spans="2:2">
      <c r="B4912" s="3"/>
    </row>
    <row r="4913" spans="2:2">
      <c r="B4913" s="3"/>
    </row>
    <row r="4914" spans="2:2">
      <c r="B4914" s="3"/>
    </row>
    <row r="4915" spans="2:2">
      <c r="B4915" s="3"/>
    </row>
    <row r="4916" spans="2:2">
      <c r="B4916" s="3"/>
    </row>
    <row r="4917" spans="2:2">
      <c r="B4917" s="3"/>
    </row>
    <row r="4918" spans="2:2">
      <c r="B4918" s="3"/>
    </row>
    <row r="4919" spans="2:2">
      <c r="B4919" s="3"/>
    </row>
    <row r="4920" spans="2:2">
      <c r="B4920" s="3"/>
    </row>
    <row r="4921" spans="2:2">
      <c r="B4921" s="3"/>
    </row>
    <row r="4922" spans="2:2">
      <c r="B4922" s="3"/>
    </row>
    <row r="4923" spans="2:2">
      <c r="B4923" s="3"/>
    </row>
    <row r="4924" spans="2:2">
      <c r="B4924" s="3"/>
    </row>
    <row r="4925" spans="2:2">
      <c r="B4925" s="3"/>
    </row>
    <row r="4926" spans="2:2">
      <c r="B4926" s="3"/>
    </row>
    <row r="4927" spans="2:2">
      <c r="B4927" s="3"/>
    </row>
    <row r="4928" spans="2:2">
      <c r="B4928" s="3"/>
    </row>
    <row r="4929" spans="2:2">
      <c r="B4929" s="3"/>
    </row>
    <row r="4930" spans="2:2">
      <c r="B4930" s="3"/>
    </row>
    <row r="4931" spans="2:2">
      <c r="B4931" s="3"/>
    </row>
    <row r="4932" spans="2:2">
      <c r="B4932" s="3"/>
    </row>
    <row r="4933" spans="2:2">
      <c r="B4933" s="3"/>
    </row>
    <row r="4934" spans="2:2">
      <c r="B4934" s="3"/>
    </row>
    <row r="4935" spans="2:2">
      <c r="B4935" s="3"/>
    </row>
    <row r="4936" spans="2:2">
      <c r="B4936" s="3"/>
    </row>
    <row r="4937" spans="2:2">
      <c r="B4937" s="3"/>
    </row>
    <row r="4938" spans="2:2">
      <c r="B4938" s="3"/>
    </row>
    <row r="4939" spans="2:2">
      <c r="B4939" s="3"/>
    </row>
    <row r="4940" spans="2:2">
      <c r="B4940" s="3"/>
    </row>
    <row r="4941" spans="2:2">
      <c r="B4941" s="3"/>
    </row>
    <row r="4942" spans="2:2">
      <c r="B4942" s="3"/>
    </row>
    <row r="4943" spans="2:2">
      <c r="B4943" s="3"/>
    </row>
    <row r="4944" spans="2:2">
      <c r="B4944" s="3"/>
    </row>
    <row r="4945" spans="2:2">
      <c r="B4945" s="3"/>
    </row>
    <row r="4946" spans="2:2">
      <c r="B4946" s="3"/>
    </row>
    <row r="4947" spans="2:2">
      <c r="B4947" s="3"/>
    </row>
    <row r="4948" spans="2:2">
      <c r="B4948" s="3"/>
    </row>
    <row r="4949" spans="2:2">
      <c r="B4949" s="3"/>
    </row>
    <row r="4950" spans="2:2">
      <c r="B4950" s="3"/>
    </row>
    <row r="4951" spans="2:2">
      <c r="B4951" s="3"/>
    </row>
    <row r="4952" spans="2:2">
      <c r="B4952" s="3"/>
    </row>
    <row r="4953" spans="2:2">
      <c r="B4953" s="3"/>
    </row>
    <row r="4954" spans="2:2">
      <c r="B4954" s="3"/>
    </row>
    <row r="4955" spans="2:2">
      <c r="B4955" s="3"/>
    </row>
    <row r="4956" spans="2:2">
      <c r="B4956" s="3"/>
    </row>
    <row r="4957" spans="2:2">
      <c r="B4957" s="3"/>
    </row>
    <row r="4958" spans="2:2">
      <c r="B4958" s="3"/>
    </row>
    <row r="4959" spans="2:2">
      <c r="B4959" s="3"/>
    </row>
    <row r="4960" spans="2:2">
      <c r="B4960" s="3"/>
    </row>
    <row r="4961" spans="2:2">
      <c r="B4961" s="3"/>
    </row>
    <row r="4962" spans="2:2">
      <c r="B4962" s="3"/>
    </row>
    <row r="4963" spans="2:2">
      <c r="B4963" s="3"/>
    </row>
    <row r="4964" spans="2:2">
      <c r="B4964" s="3"/>
    </row>
    <row r="4965" spans="2:2">
      <c r="B4965" s="3"/>
    </row>
    <row r="4966" spans="2:2">
      <c r="B4966" s="3"/>
    </row>
    <row r="4967" spans="2:2">
      <c r="B4967" s="3"/>
    </row>
    <row r="4968" spans="2:2">
      <c r="B4968" s="3"/>
    </row>
    <row r="4969" spans="2:2">
      <c r="B4969" s="3"/>
    </row>
    <row r="4970" spans="2:2">
      <c r="B4970" s="3"/>
    </row>
    <row r="4971" spans="2:2">
      <c r="B4971" s="3"/>
    </row>
    <row r="4972" spans="2:2">
      <c r="B4972" s="3"/>
    </row>
    <row r="4973" spans="2:2">
      <c r="B4973" s="3"/>
    </row>
    <row r="4974" spans="2:2">
      <c r="B4974" s="3"/>
    </row>
    <row r="4975" spans="2:2">
      <c r="B4975" s="3"/>
    </row>
    <row r="4976" spans="2:2">
      <c r="B4976" s="3"/>
    </row>
    <row r="4977" spans="2:2">
      <c r="B4977" s="3"/>
    </row>
    <row r="4978" spans="2:2">
      <c r="B4978" s="3"/>
    </row>
    <row r="4979" spans="2:2">
      <c r="B4979" s="3"/>
    </row>
    <row r="4980" spans="2:2">
      <c r="B4980" s="3"/>
    </row>
    <row r="4981" spans="2:2">
      <c r="B4981" s="3"/>
    </row>
    <row r="4982" spans="2:2">
      <c r="B4982" s="3"/>
    </row>
    <row r="4983" spans="2:2">
      <c r="B4983" s="3"/>
    </row>
    <row r="4984" spans="2:2">
      <c r="B4984" s="3"/>
    </row>
    <row r="4985" spans="2:2">
      <c r="B4985" s="3"/>
    </row>
    <row r="4986" spans="2:2">
      <c r="B4986" s="3"/>
    </row>
    <row r="4987" spans="2:2">
      <c r="B4987" s="3"/>
    </row>
    <row r="4988" spans="2:2">
      <c r="B4988" s="3"/>
    </row>
    <row r="4989" spans="2:2">
      <c r="B4989" s="3"/>
    </row>
    <row r="4990" spans="2:2">
      <c r="B4990" s="3"/>
    </row>
    <row r="4991" spans="2:2">
      <c r="B4991" s="3"/>
    </row>
    <row r="4992" spans="2:2">
      <c r="B4992" s="3"/>
    </row>
    <row r="4993" spans="2:2">
      <c r="B4993" s="3"/>
    </row>
    <row r="4994" spans="2:2">
      <c r="B4994" s="3"/>
    </row>
    <row r="4995" spans="2:2">
      <c r="B4995" s="3"/>
    </row>
    <row r="4996" spans="2:2">
      <c r="B4996" s="3"/>
    </row>
    <row r="4997" spans="2:2">
      <c r="B4997" s="3"/>
    </row>
    <row r="4998" spans="2:2">
      <c r="B4998" s="3"/>
    </row>
    <row r="4999" spans="2:2">
      <c r="B4999" s="3"/>
    </row>
    <row r="5000" spans="2:2">
      <c r="B5000" s="3"/>
    </row>
    <row r="5001" spans="2:2">
      <c r="B5001" s="3"/>
    </row>
    <row r="5002" spans="2:2">
      <c r="B5002" s="3"/>
    </row>
    <row r="5003" spans="2:2">
      <c r="B5003" s="3"/>
    </row>
    <row r="5004" spans="2:2">
      <c r="B5004" s="3"/>
    </row>
    <row r="5005" spans="2:2">
      <c r="B5005" s="3"/>
    </row>
    <row r="5006" spans="2:2">
      <c r="B5006" s="3"/>
    </row>
    <row r="5007" spans="2:2">
      <c r="B5007" s="3"/>
    </row>
    <row r="5008" spans="2:2">
      <c r="B5008" s="3"/>
    </row>
    <row r="5009" spans="2:2">
      <c r="B5009" s="3"/>
    </row>
    <row r="5010" spans="2:2">
      <c r="B5010" s="3"/>
    </row>
    <row r="5011" spans="2:2">
      <c r="B5011" s="3"/>
    </row>
    <row r="5012" spans="2:2">
      <c r="B5012" s="3"/>
    </row>
    <row r="5013" spans="2:2">
      <c r="B5013" s="3"/>
    </row>
    <row r="5014" spans="2:2">
      <c r="B5014" s="3"/>
    </row>
    <row r="5015" spans="2:2">
      <c r="B5015" s="3"/>
    </row>
    <row r="5016" spans="2:2">
      <c r="B5016" s="3"/>
    </row>
    <row r="5017" spans="2:2">
      <c r="B5017" s="3"/>
    </row>
    <row r="5018" spans="2:2">
      <c r="B5018" s="3"/>
    </row>
    <row r="5019" spans="2:2">
      <c r="B5019" s="3"/>
    </row>
    <row r="5020" spans="2:2">
      <c r="B5020" s="3"/>
    </row>
    <row r="5021" spans="2:2">
      <c r="B5021" s="3"/>
    </row>
    <row r="5022" spans="2:2">
      <c r="B5022" s="3"/>
    </row>
    <row r="5023" spans="2:2">
      <c r="B5023" s="3"/>
    </row>
    <row r="5024" spans="2:2">
      <c r="B5024" s="3"/>
    </row>
    <row r="5025" spans="2:2">
      <c r="B5025" s="3"/>
    </row>
    <row r="5026" spans="2:2">
      <c r="B5026" s="3"/>
    </row>
    <row r="5027" spans="2:2">
      <c r="B5027" s="3"/>
    </row>
    <row r="5028" spans="2:2">
      <c r="B5028" s="3"/>
    </row>
    <row r="5029" spans="2:2">
      <c r="B5029" s="3"/>
    </row>
    <row r="5030" spans="2:2">
      <c r="B5030" s="3"/>
    </row>
    <row r="5031" spans="2:2">
      <c r="B5031" s="3"/>
    </row>
    <row r="5032" spans="2:2">
      <c r="B5032" s="3"/>
    </row>
    <row r="5033" spans="2:2">
      <c r="B5033" s="3"/>
    </row>
    <row r="5034" spans="2:2">
      <c r="B5034" s="3"/>
    </row>
    <row r="5035" spans="2:2">
      <c r="B5035" s="3"/>
    </row>
    <row r="5036" spans="2:2">
      <c r="B5036" s="3"/>
    </row>
    <row r="5037" spans="2:2">
      <c r="B5037" s="3"/>
    </row>
    <row r="5038" spans="2:2">
      <c r="B5038" s="3"/>
    </row>
    <row r="5039" spans="2:2">
      <c r="B5039" s="3"/>
    </row>
    <row r="5040" spans="2:2">
      <c r="B5040" s="3"/>
    </row>
    <row r="5041" spans="2:2">
      <c r="B5041" s="3"/>
    </row>
    <row r="5042" spans="2:2">
      <c r="B5042" s="3"/>
    </row>
    <row r="5043" spans="2:2">
      <c r="B5043" s="3"/>
    </row>
    <row r="5044" spans="2:2">
      <c r="B5044" s="3"/>
    </row>
    <row r="5045" spans="2:2">
      <c r="B5045" s="3"/>
    </row>
    <row r="5046" spans="2:2">
      <c r="B5046" s="3"/>
    </row>
    <row r="5047" spans="2:2">
      <c r="B5047" s="3"/>
    </row>
    <row r="5048" spans="2:2">
      <c r="B5048" s="3"/>
    </row>
    <row r="5049" spans="2:2">
      <c r="B5049" s="3"/>
    </row>
    <row r="5050" spans="2:2">
      <c r="B5050" s="3"/>
    </row>
    <row r="5051" spans="2:2">
      <c r="B5051" s="3"/>
    </row>
    <row r="5052" spans="2:2">
      <c r="B5052" s="3"/>
    </row>
    <row r="5053" spans="2:2">
      <c r="B5053" s="3"/>
    </row>
    <row r="5054" spans="2:2">
      <c r="B5054" s="3"/>
    </row>
    <row r="5055" spans="2:2">
      <c r="B5055" s="3"/>
    </row>
    <row r="5056" spans="2:2">
      <c r="B5056" s="3"/>
    </row>
    <row r="5057" spans="2:2">
      <c r="B5057" s="3"/>
    </row>
    <row r="5058" spans="2:2">
      <c r="B5058" s="3"/>
    </row>
    <row r="5059" spans="2:2">
      <c r="B5059" s="3"/>
    </row>
    <row r="5060" spans="2:2">
      <c r="B5060" s="3"/>
    </row>
    <row r="5061" spans="2:2">
      <c r="B5061" s="3"/>
    </row>
    <row r="5062" spans="2:2">
      <c r="B5062" s="3"/>
    </row>
    <row r="5063" spans="2:2">
      <c r="B5063" s="3"/>
    </row>
    <row r="5064" spans="2:2">
      <c r="B5064" s="3"/>
    </row>
    <row r="5065" spans="2:2">
      <c r="B5065" s="3"/>
    </row>
    <row r="5066" spans="2:2">
      <c r="B5066" s="3"/>
    </row>
    <row r="5067" spans="2:2">
      <c r="B5067" s="3"/>
    </row>
    <row r="5068" spans="2:2">
      <c r="B5068" s="3"/>
    </row>
    <row r="5069" spans="2:2">
      <c r="B5069" s="3"/>
    </row>
    <row r="5070" spans="2:2">
      <c r="B5070" s="3"/>
    </row>
    <row r="5071" spans="2:2">
      <c r="B5071" s="3"/>
    </row>
    <row r="5072" spans="2:2">
      <c r="B5072" s="3"/>
    </row>
    <row r="5073" spans="2:2">
      <c r="B5073" s="3"/>
    </row>
    <row r="5074" spans="2:2">
      <c r="B5074" s="3"/>
    </row>
    <row r="5075" spans="2:2">
      <c r="B5075" s="3"/>
    </row>
    <row r="5076" spans="2:2">
      <c r="B5076" s="3"/>
    </row>
    <row r="5077" spans="2:2">
      <c r="B5077" s="3"/>
    </row>
    <row r="5078" spans="2:2">
      <c r="B5078" s="3"/>
    </row>
    <row r="5079" spans="2:2">
      <c r="B5079" s="3"/>
    </row>
    <row r="5080" spans="2:2">
      <c r="B5080" s="3"/>
    </row>
    <row r="5081" spans="2:2">
      <c r="B5081" s="3"/>
    </row>
    <row r="5082" spans="2:2">
      <c r="B5082" s="3"/>
    </row>
    <row r="5083" spans="2:2">
      <c r="B5083" s="3"/>
    </row>
    <row r="5084" spans="2:2">
      <c r="B5084" s="3"/>
    </row>
    <row r="5085" spans="2:2">
      <c r="B5085" s="3"/>
    </row>
    <row r="5086" spans="2:2">
      <c r="B5086" s="3"/>
    </row>
    <row r="5087" spans="2:2">
      <c r="B5087" s="3"/>
    </row>
    <row r="5088" spans="2:2">
      <c r="B5088" s="3"/>
    </row>
    <row r="5089" spans="2:2">
      <c r="B5089" s="3"/>
    </row>
    <row r="5090" spans="2:2">
      <c r="B5090" s="3"/>
    </row>
    <row r="5091" spans="2:2">
      <c r="B5091" s="3"/>
    </row>
    <row r="5092" spans="2:2">
      <c r="B5092" s="3"/>
    </row>
    <row r="5093" spans="2:2">
      <c r="B5093" s="3"/>
    </row>
    <row r="5094" spans="2:2">
      <c r="B5094" s="3"/>
    </row>
    <row r="5095" spans="2:2">
      <c r="B5095" s="3"/>
    </row>
    <row r="5096" spans="2:2">
      <c r="B5096" s="3"/>
    </row>
    <row r="5097" spans="2:2">
      <c r="B5097" s="3"/>
    </row>
    <row r="5098" spans="2:2">
      <c r="B5098" s="3"/>
    </row>
    <row r="5099" spans="2:2">
      <c r="B5099" s="3"/>
    </row>
    <row r="5100" spans="2:2">
      <c r="B5100" s="3"/>
    </row>
    <row r="5101" spans="2:2">
      <c r="B5101" s="3"/>
    </row>
    <row r="5102" spans="2:2">
      <c r="B5102" s="3"/>
    </row>
    <row r="5103" spans="2:2">
      <c r="B5103" s="3"/>
    </row>
    <row r="5104" spans="2:2">
      <c r="B5104" s="3"/>
    </row>
    <row r="5105" spans="2:2">
      <c r="B5105" s="3"/>
    </row>
    <row r="5106" spans="2:2">
      <c r="B5106" s="3"/>
    </row>
    <row r="5107" spans="2:2">
      <c r="B5107" s="3"/>
    </row>
    <row r="5108" spans="2:2">
      <c r="B5108" s="3"/>
    </row>
    <row r="5109" spans="2:2">
      <c r="B5109" s="3"/>
    </row>
    <row r="5110" spans="2:2">
      <c r="B5110" s="3"/>
    </row>
    <row r="5111" spans="2:2">
      <c r="B5111" s="3"/>
    </row>
    <row r="5112" spans="2:2">
      <c r="B5112" s="3"/>
    </row>
    <row r="5113" spans="2:2">
      <c r="B5113" s="3"/>
    </row>
    <row r="5114" spans="2:2">
      <c r="B5114" s="3"/>
    </row>
    <row r="5115" spans="2:2">
      <c r="B5115" s="3"/>
    </row>
    <row r="5116" spans="2:2">
      <c r="B5116" s="3"/>
    </row>
    <row r="5117" spans="2:2">
      <c r="B5117" s="3"/>
    </row>
    <row r="5118" spans="2:2">
      <c r="B5118" s="3"/>
    </row>
    <row r="5119" spans="2:2">
      <c r="B5119" s="3"/>
    </row>
    <row r="5120" spans="2:2">
      <c r="B5120" s="3"/>
    </row>
    <row r="5121" spans="2:2">
      <c r="B5121" s="3"/>
    </row>
    <row r="5122" spans="2:2">
      <c r="B5122" s="3"/>
    </row>
    <row r="5123" spans="2:2">
      <c r="B5123" s="3"/>
    </row>
    <row r="5124" spans="2:2">
      <c r="B5124" s="3"/>
    </row>
    <row r="5125" spans="2:2">
      <c r="B5125" s="3"/>
    </row>
    <row r="5126" spans="2:2">
      <c r="B5126" s="3"/>
    </row>
    <row r="5127" spans="2:2">
      <c r="B5127" s="3"/>
    </row>
    <row r="5128" spans="2:2">
      <c r="B5128" s="3"/>
    </row>
    <row r="5129" spans="2:2">
      <c r="B5129" s="3"/>
    </row>
    <row r="5130" spans="2:2">
      <c r="B5130" s="3"/>
    </row>
    <row r="5131" spans="2:2">
      <c r="B5131" s="3"/>
    </row>
    <row r="5132" spans="2:2">
      <c r="B5132" s="3"/>
    </row>
    <row r="5133" spans="2:2">
      <c r="B5133" s="3"/>
    </row>
    <row r="5134" spans="2:2">
      <c r="B5134" s="3"/>
    </row>
    <row r="5135" spans="2:2">
      <c r="B5135" s="3"/>
    </row>
    <row r="5136" spans="2:2">
      <c r="B5136" s="3"/>
    </row>
    <row r="5137" spans="2:2">
      <c r="B5137" s="3"/>
    </row>
    <row r="5138" spans="2:2">
      <c r="B5138" s="3"/>
    </row>
    <row r="5139" spans="2:2">
      <c r="B5139" s="3"/>
    </row>
    <row r="5140" spans="2:2">
      <c r="B5140" s="3"/>
    </row>
    <row r="5141" spans="2:2">
      <c r="B5141" s="3"/>
    </row>
    <row r="5142" spans="2:2">
      <c r="B5142" s="3"/>
    </row>
    <row r="5143" spans="2:2">
      <c r="B5143" s="3"/>
    </row>
    <row r="5144" spans="2:2">
      <c r="B5144" s="3"/>
    </row>
    <row r="5145" spans="2:2">
      <c r="B5145" s="3"/>
    </row>
    <row r="5146" spans="2:2">
      <c r="B5146" s="3"/>
    </row>
    <row r="5147" spans="2:2">
      <c r="B5147" s="3"/>
    </row>
    <row r="5148" spans="2:2">
      <c r="B5148" s="3"/>
    </row>
    <row r="5149" spans="2:2">
      <c r="B5149" s="3"/>
    </row>
    <row r="5150" spans="2:2">
      <c r="B5150" s="3"/>
    </row>
    <row r="5151" spans="2:2">
      <c r="B5151" s="3"/>
    </row>
    <row r="5152" spans="2:2">
      <c r="B5152" s="3"/>
    </row>
    <row r="5153" spans="2:2">
      <c r="B5153" s="3"/>
    </row>
    <row r="5154" spans="2:2">
      <c r="B5154" s="3"/>
    </row>
    <row r="5155" spans="2:2">
      <c r="B5155" s="3"/>
    </row>
    <row r="5156" spans="2:2">
      <c r="B5156" s="3"/>
    </row>
    <row r="5157" spans="2:2">
      <c r="B5157" s="3"/>
    </row>
    <row r="5158" spans="2:2">
      <c r="B5158" s="3"/>
    </row>
    <row r="5159" spans="2:2">
      <c r="B5159" s="3"/>
    </row>
    <row r="5160" spans="2:2">
      <c r="B5160" s="3"/>
    </row>
    <row r="5161" spans="2:2">
      <c r="B5161" s="3"/>
    </row>
    <row r="5162" spans="2:2">
      <c r="B5162" s="3"/>
    </row>
    <row r="5163" spans="2:2">
      <c r="B5163" s="3"/>
    </row>
    <row r="5164" spans="2:2">
      <c r="B5164" s="3"/>
    </row>
    <row r="5165" spans="2:2">
      <c r="B5165" s="3"/>
    </row>
    <row r="5166" spans="2:2">
      <c r="B5166" s="3"/>
    </row>
    <row r="5167" spans="2:2">
      <c r="B5167" s="3"/>
    </row>
    <row r="5168" spans="2:2">
      <c r="B5168" s="3"/>
    </row>
    <row r="5169" spans="2:2">
      <c r="B5169" s="3"/>
    </row>
    <row r="5170" spans="2:2">
      <c r="B5170" s="3"/>
    </row>
    <row r="5171" spans="2:2">
      <c r="B5171" s="3"/>
    </row>
    <row r="5172" spans="2:2">
      <c r="B5172" s="3"/>
    </row>
    <row r="5173" spans="2:2">
      <c r="B5173" s="3"/>
    </row>
    <row r="5174" spans="2:2">
      <c r="B5174" s="3"/>
    </row>
    <row r="5175" spans="2:2">
      <c r="B5175" s="3"/>
    </row>
    <row r="5176" spans="2:2">
      <c r="B5176" s="3"/>
    </row>
    <row r="5177" spans="2:2">
      <c r="B5177" s="3"/>
    </row>
    <row r="5178" spans="2:2">
      <c r="B5178" s="3"/>
    </row>
    <row r="5179" spans="2:2">
      <c r="B5179" s="3"/>
    </row>
    <row r="5180" spans="2:2">
      <c r="B5180" s="3"/>
    </row>
    <row r="5181" spans="2:2">
      <c r="B5181" s="3"/>
    </row>
    <row r="5182" spans="2:2">
      <c r="B5182" s="3"/>
    </row>
    <row r="5183" spans="2:2">
      <c r="B5183" s="3"/>
    </row>
    <row r="5184" spans="2:2">
      <c r="B5184" s="3"/>
    </row>
    <row r="5185" spans="2:2">
      <c r="B5185" s="3"/>
    </row>
    <row r="5186" spans="2:2">
      <c r="B5186" s="3"/>
    </row>
    <row r="5187" spans="2:2">
      <c r="B5187" s="3"/>
    </row>
    <row r="5188" spans="2:2">
      <c r="B5188" s="3"/>
    </row>
    <row r="5189" spans="2:2">
      <c r="B5189" s="3"/>
    </row>
    <row r="5190" spans="2:2">
      <c r="B5190" s="3"/>
    </row>
    <row r="5191" spans="2:2">
      <c r="B5191" s="3"/>
    </row>
    <row r="5192" spans="2:2">
      <c r="B5192" s="3"/>
    </row>
    <row r="5193" spans="2:2">
      <c r="B5193" s="3"/>
    </row>
    <row r="5194" spans="2:2">
      <c r="B5194" s="3"/>
    </row>
    <row r="5195" spans="2:2">
      <c r="B5195" s="3"/>
    </row>
    <row r="5196" spans="2:2">
      <c r="B5196" s="3"/>
    </row>
    <row r="5197" spans="2:2">
      <c r="B5197" s="3"/>
    </row>
    <row r="5198" spans="2:2">
      <c r="B5198" s="3"/>
    </row>
    <row r="5199" spans="2:2">
      <c r="B5199" s="3"/>
    </row>
    <row r="5200" spans="2:2">
      <c r="B5200" s="3"/>
    </row>
    <row r="5201" spans="2:2">
      <c r="B5201" s="3"/>
    </row>
    <row r="5202" spans="2:2">
      <c r="B5202" s="3"/>
    </row>
    <row r="5203" spans="2:2">
      <c r="B5203" s="3"/>
    </row>
    <row r="5204" spans="2:2">
      <c r="B5204" s="3"/>
    </row>
    <row r="5205" spans="2:2">
      <c r="B5205" s="3"/>
    </row>
    <row r="5206" spans="2:2">
      <c r="B5206" s="3"/>
    </row>
    <row r="5207" spans="2:2">
      <c r="B5207" s="3"/>
    </row>
    <row r="5208" spans="2:2">
      <c r="B5208" s="3"/>
    </row>
    <row r="5209" spans="2:2">
      <c r="B5209" s="3"/>
    </row>
    <row r="5210" spans="2:2">
      <c r="B5210" s="3"/>
    </row>
    <row r="5211" spans="2:2">
      <c r="B5211" s="3"/>
    </row>
    <row r="5212" spans="2:2">
      <c r="B5212" s="3"/>
    </row>
    <row r="5213" spans="2:2">
      <c r="B5213" s="3"/>
    </row>
    <row r="5214" spans="2:2">
      <c r="B5214" s="3"/>
    </row>
    <row r="5215" spans="2:2">
      <c r="B5215" s="3"/>
    </row>
    <row r="5216" spans="2:2">
      <c r="B5216" s="3"/>
    </row>
    <row r="5217" spans="2:2">
      <c r="B5217" s="3"/>
    </row>
    <row r="5218" spans="2:2">
      <c r="B5218" s="3"/>
    </row>
    <row r="5219" spans="2:2">
      <c r="B5219" s="3"/>
    </row>
    <row r="5220" spans="2:2">
      <c r="B5220" s="3"/>
    </row>
    <row r="5221" spans="2:2">
      <c r="B5221" s="3"/>
    </row>
    <row r="5222" spans="2:2">
      <c r="B5222" s="3"/>
    </row>
    <row r="5223" spans="2:2">
      <c r="B5223" s="3"/>
    </row>
    <row r="5224" spans="2:2">
      <c r="B5224" s="3"/>
    </row>
    <row r="5225" spans="2:2">
      <c r="B5225" s="3"/>
    </row>
    <row r="5226" spans="2:2">
      <c r="B5226" s="3"/>
    </row>
    <row r="5227" spans="2:2">
      <c r="B5227" s="3"/>
    </row>
    <row r="5228" spans="2:2">
      <c r="B5228" s="3"/>
    </row>
    <row r="5229" spans="2:2">
      <c r="B5229" s="3"/>
    </row>
    <row r="5230" spans="2:2">
      <c r="B5230" s="3"/>
    </row>
    <row r="5231" spans="2:2">
      <c r="B5231" s="3"/>
    </row>
    <row r="5232" spans="2:2">
      <c r="B5232" s="3"/>
    </row>
    <row r="5233" spans="2:2">
      <c r="B5233" s="3"/>
    </row>
    <row r="5234" spans="2:2">
      <c r="B5234" s="3"/>
    </row>
    <row r="5235" spans="2:2">
      <c r="B5235" s="3"/>
    </row>
    <row r="5236" spans="2:2">
      <c r="B5236" s="3"/>
    </row>
    <row r="5237" spans="2:2">
      <c r="B5237" s="3"/>
    </row>
    <row r="5238" spans="2:2">
      <c r="B5238" s="3"/>
    </row>
    <row r="5239" spans="2:2">
      <c r="B5239" s="3"/>
    </row>
    <row r="5240" spans="2:2">
      <c r="B5240" s="3"/>
    </row>
    <row r="5241" spans="2:2">
      <c r="B5241" s="3"/>
    </row>
    <row r="5242" spans="2:2">
      <c r="B5242" s="3"/>
    </row>
    <row r="5243" spans="2:2">
      <c r="B5243" s="3"/>
    </row>
    <row r="5244" spans="2:2">
      <c r="B5244" s="3"/>
    </row>
    <row r="5245" spans="2:2">
      <c r="B5245" s="3"/>
    </row>
    <row r="5246" spans="2:2">
      <c r="B5246" s="3"/>
    </row>
    <row r="5247" spans="2:2">
      <c r="B5247" s="3"/>
    </row>
    <row r="5248" spans="2:2">
      <c r="B5248" s="3"/>
    </row>
    <row r="5249" spans="2:2">
      <c r="B5249" s="3"/>
    </row>
    <row r="5250" spans="2:2">
      <c r="B5250" s="3"/>
    </row>
    <row r="5251" spans="2:2">
      <c r="B5251" s="3"/>
    </row>
    <row r="5252" spans="2:2">
      <c r="B5252" s="3"/>
    </row>
    <row r="5253" spans="2:2">
      <c r="B5253" s="3"/>
    </row>
    <row r="5254" spans="2:2">
      <c r="B5254" s="3"/>
    </row>
    <row r="5255" spans="2:2">
      <c r="B5255" s="3"/>
    </row>
    <row r="5256" spans="2:2">
      <c r="B5256" s="3"/>
    </row>
    <row r="5257" spans="2:2">
      <c r="B5257" s="3"/>
    </row>
    <row r="5258" spans="2:2">
      <c r="B5258" s="3"/>
    </row>
    <row r="5259" spans="2:2">
      <c r="B5259" s="3"/>
    </row>
    <row r="5260" spans="2:2">
      <c r="B5260" s="3"/>
    </row>
    <row r="5261" spans="2:2">
      <c r="B5261" s="3"/>
    </row>
    <row r="5262" spans="2:2">
      <c r="B5262" s="3"/>
    </row>
    <row r="5263" spans="2:2">
      <c r="B5263" s="3"/>
    </row>
    <row r="5264" spans="2:2">
      <c r="B5264" s="3"/>
    </row>
    <row r="5265" spans="2:2">
      <c r="B5265" s="3"/>
    </row>
    <row r="5266" spans="2:2">
      <c r="B5266" s="3"/>
    </row>
    <row r="5267" spans="2:2">
      <c r="B5267" s="3"/>
    </row>
    <row r="5268" spans="2:2">
      <c r="B5268" s="3"/>
    </row>
    <row r="5269" spans="2:2">
      <c r="B5269" s="3"/>
    </row>
    <row r="5270" spans="2:2">
      <c r="B5270" s="3"/>
    </row>
    <row r="5271" spans="2:2">
      <c r="B5271" s="3"/>
    </row>
    <row r="5272" spans="2:2">
      <c r="B5272" s="3"/>
    </row>
    <row r="5273" spans="2:2">
      <c r="B5273" s="3"/>
    </row>
    <row r="5274" spans="2:2">
      <c r="B5274" s="3"/>
    </row>
    <row r="5275" spans="2:2">
      <c r="B5275" s="3"/>
    </row>
    <row r="5276" spans="2:2">
      <c r="B5276" s="3"/>
    </row>
    <row r="5277" spans="2:2">
      <c r="B5277" s="3"/>
    </row>
    <row r="5278" spans="2:2">
      <c r="B5278" s="3"/>
    </row>
    <row r="5279" spans="2:2">
      <c r="B5279" s="3"/>
    </row>
    <row r="5280" spans="2:2">
      <c r="B5280" s="3"/>
    </row>
    <row r="5281" spans="2:2">
      <c r="B5281" s="3"/>
    </row>
    <row r="5282" spans="2:2">
      <c r="B5282" s="3"/>
    </row>
    <row r="5283" spans="2:2">
      <c r="B5283" s="3"/>
    </row>
    <row r="5284" spans="2:2">
      <c r="B5284" s="3"/>
    </row>
    <row r="5285" spans="2:2">
      <c r="B5285" s="3"/>
    </row>
    <row r="5286" spans="2:2">
      <c r="B5286" s="3"/>
    </row>
    <row r="5287" spans="2:2">
      <c r="B5287" s="3"/>
    </row>
    <row r="5288" spans="2:2">
      <c r="B5288" s="3"/>
    </row>
    <row r="5289" spans="2:2">
      <c r="B5289" s="3"/>
    </row>
    <row r="5290" spans="2:2">
      <c r="B5290" s="3"/>
    </row>
    <row r="5291" spans="2:2">
      <c r="B5291" s="3"/>
    </row>
    <row r="5292" spans="2:2">
      <c r="B5292" s="3"/>
    </row>
    <row r="5293" spans="2:2">
      <c r="B5293" s="3"/>
    </row>
    <row r="5294" spans="2:2">
      <c r="B5294" s="3"/>
    </row>
    <row r="5295" spans="2:2">
      <c r="B5295" s="3"/>
    </row>
    <row r="5296" spans="2:2">
      <c r="B5296" s="3"/>
    </row>
    <row r="5297" spans="2:2">
      <c r="B5297" s="3"/>
    </row>
    <row r="5298" spans="2:2">
      <c r="B5298" s="3"/>
    </row>
    <row r="5299" spans="2:2">
      <c r="B5299" s="3"/>
    </row>
    <row r="5300" spans="2:2">
      <c r="B5300" s="3"/>
    </row>
    <row r="5301" spans="2:2">
      <c r="B5301" s="3"/>
    </row>
    <row r="5302" spans="2:2">
      <c r="B5302" s="3"/>
    </row>
    <row r="5303" spans="2:2">
      <c r="B5303" s="3"/>
    </row>
    <row r="5304" spans="2:2">
      <c r="B5304" s="3"/>
    </row>
    <row r="5305" spans="2:2">
      <c r="B5305" s="3"/>
    </row>
    <row r="5306" spans="2:2">
      <c r="B5306" s="3"/>
    </row>
    <row r="5307" spans="2:2">
      <c r="B5307" s="3"/>
    </row>
    <row r="5308" spans="2:2">
      <c r="B5308" s="3"/>
    </row>
    <row r="5309" spans="2:2">
      <c r="B5309" s="3"/>
    </row>
    <row r="5310" spans="2:2">
      <c r="B5310" s="3"/>
    </row>
    <row r="5311" spans="2:2">
      <c r="B5311" s="3"/>
    </row>
    <row r="5312" spans="2:2">
      <c r="B5312" s="3"/>
    </row>
    <row r="5313" spans="2:2">
      <c r="B5313" s="3"/>
    </row>
    <row r="5314" spans="2:2">
      <c r="B5314" s="3"/>
    </row>
    <row r="5315" spans="2:2">
      <c r="B5315" s="3"/>
    </row>
    <row r="5316" spans="2:2">
      <c r="B5316" s="3"/>
    </row>
    <row r="5317" spans="2:2">
      <c r="B5317" s="3"/>
    </row>
    <row r="5318" spans="2:2">
      <c r="B5318" s="3"/>
    </row>
    <row r="5319" spans="2:2">
      <c r="B5319" s="3"/>
    </row>
    <row r="5320" spans="2:2">
      <c r="B5320" s="3"/>
    </row>
    <row r="5321" spans="2:2">
      <c r="B5321" s="3"/>
    </row>
    <row r="5322" spans="2:2">
      <c r="B5322" s="3"/>
    </row>
    <row r="5323" spans="2:2">
      <c r="B5323" s="3"/>
    </row>
    <row r="5324" spans="2:2">
      <c r="B5324" s="3"/>
    </row>
    <row r="5325" spans="2:2">
      <c r="B5325" s="3"/>
    </row>
    <row r="5326" spans="2:2">
      <c r="B5326" s="3"/>
    </row>
    <row r="5327" spans="2:2">
      <c r="B5327" s="3"/>
    </row>
    <row r="5328" spans="2:2">
      <c r="B5328" s="3"/>
    </row>
    <row r="5329" spans="2:2">
      <c r="B5329" s="3"/>
    </row>
    <row r="5330" spans="2:2">
      <c r="B5330" s="3"/>
    </row>
    <row r="5331" spans="2:2">
      <c r="B5331" s="3"/>
    </row>
    <row r="5332" spans="2:2">
      <c r="B5332" s="3"/>
    </row>
    <row r="5333" spans="2:2">
      <c r="B5333" s="3"/>
    </row>
    <row r="5334" spans="2:2">
      <c r="B5334" s="3"/>
    </row>
    <row r="5335" spans="2:2">
      <c r="B5335" s="3"/>
    </row>
    <row r="5336" spans="2:2">
      <c r="B5336" s="3"/>
    </row>
    <row r="5337" spans="2:2">
      <c r="B5337" s="3"/>
    </row>
    <row r="5338" spans="2:2">
      <c r="B5338" s="3"/>
    </row>
    <row r="5339" spans="2:2">
      <c r="B5339" s="3"/>
    </row>
    <row r="5340" spans="2:2">
      <c r="B5340" s="3"/>
    </row>
    <row r="5341" spans="2:2">
      <c r="B5341" s="3"/>
    </row>
    <row r="5342" spans="2:2">
      <c r="B5342" s="3"/>
    </row>
    <row r="5343" spans="2:2">
      <c r="B5343" s="3"/>
    </row>
    <row r="5344" spans="2:2">
      <c r="B5344" s="3"/>
    </row>
    <row r="5345" spans="2:2">
      <c r="B5345" s="3"/>
    </row>
    <row r="5346" spans="2:2">
      <c r="B5346" s="3"/>
    </row>
    <row r="5347" spans="2:2">
      <c r="B5347" s="3"/>
    </row>
    <row r="5348" spans="2:2">
      <c r="B5348" s="3"/>
    </row>
    <row r="5349" spans="2:2">
      <c r="B5349" s="3"/>
    </row>
    <row r="5350" spans="2:2">
      <c r="B5350" s="3"/>
    </row>
    <row r="5351" spans="2:2">
      <c r="B5351" s="3"/>
    </row>
    <row r="5352" spans="2:2">
      <c r="B5352" s="3"/>
    </row>
    <row r="5353" spans="2:2">
      <c r="B5353" s="3"/>
    </row>
    <row r="5354" spans="2:2">
      <c r="B5354" s="3"/>
    </row>
    <row r="5355" spans="2:2">
      <c r="B5355" s="3"/>
    </row>
    <row r="5356" spans="2:2">
      <c r="B5356" s="3"/>
    </row>
    <row r="5357" spans="2:2">
      <c r="B5357" s="3"/>
    </row>
    <row r="5358" spans="2:2">
      <c r="B5358" s="3"/>
    </row>
    <row r="5359" spans="2:2">
      <c r="B5359" s="3"/>
    </row>
    <row r="5360" spans="2:2">
      <c r="B5360" s="3"/>
    </row>
    <row r="5361" spans="2:2">
      <c r="B5361" s="3"/>
    </row>
    <row r="5362" spans="2:2">
      <c r="B5362" s="3"/>
    </row>
    <row r="5363" spans="2:2">
      <c r="B5363" s="3"/>
    </row>
    <row r="5364" spans="2:2">
      <c r="B5364" s="3"/>
    </row>
    <row r="5365" spans="2:2">
      <c r="B5365" s="3"/>
    </row>
    <row r="5366" spans="2:2">
      <c r="B5366" s="3"/>
    </row>
    <row r="5367" spans="2:2">
      <c r="B5367" s="3"/>
    </row>
    <row r="5368" spans="2:2">
      <c r="B5368" s="3"/>
    </row>
    <row r="5369" spans="2:2">
      <c r="B5369" s="3"/>
    </row>
    <row r="5370" spans="2:2">
      <c r="B5370" s="3"/>
    </row>
    <row r="5371" spans="2:2">
      <c r="B5371" s="3"/>
    </row>
    <row r="5372" spans="2:2">
      <c r="B5372" s="3"/>
    </row>
    <row r="5373" spans="2:2">
      <c r="B5373" s="3"/>
    </row>
    <row r="5374" spans="2:2">
      <c r="B5374" s="3"/>
    </row>
    <row r="5375" spans="2:2">
      <c r="B5375" s="3"/>
    </row>
    <row r="5376" spans="2:2">
      <c r="B5376" s="3"/>
    </row>
    <row r="5377" spans="2:2">
      <c r="B5377" s="3"/>
    </row>
    <row r="5378" spans="2:2">
      <c r="B5378" s="3"/>
    </row>
    <row r="5379" spans="2:2">
      <c r="B5379" s="3"/>
    </row>
    <row r="5380" spans="2:2">
      <c r="B5380" s="3"/>
    </row>
    <row r="5381" spans="2:2">
      <c r="B5381" s="3"/>
    </row>
    <row r="5382" spans="2:2">
      <c r="B5382" s="3"/>
    </row>
    <row r="5383" spans="2:2">
      <c r="B5383" s="3"/>
    </row>
    <row r="5384" spans="2:2">
      <c r="B5384" s="3"/>
    </row>
    <row r="5385" spans="2:2">
      <c r="B5385" s="3"/>
    </row>
    <row r="5386" spans="2:2">
      <c r="B5386" s="3"/>
    </row>
    <row r="5387" spans="2:2">
      <c r="B5387" s="3"/>
    </row>
    <row r="5388" spans="2:2">
      <c r="B5388" s="3"/>
    </row>
    <row r="5389" spans="2:2">
      <c r="B5389" s="3"/>
    </row>
    <row r="5390" spans="2:2">
      <c r="B5390" s="3"/>
    </row>
    <row r="5391" spans="2:2">
      <c r="B5391" s="3"/>
    </row>
    <row r="5392" spans="2:2">
      <c r="B5392" s="3"/>
    </row>
    <row r="5393" spans="2:2">
      <c r="B5393" s="3"/>
    </row>
    <row r="5394" spans="2:2">
      <c r="B5394" s="3"/>
    </row>
    <row r="5395" spans="2:2">
      <c r="B5395" s="3"/>
    </row>
    <row r="5396" spans="2:2">
      <c r="B5396" s="3"/>
    </row>
    <row r="5397" spans="2:2">
      <c r="B5397" s="3"/>
    </row>
    <row r="5398" spans="2:2">
      <c r="B5398" s="3"/>
    </row>
    <row r="5399" spans="2:2">
      <c r="B5399" s="3"/>
    </row>
    <row r="5400" spans="2:2">
      <c r="B5400" s="3"/>
    </row>
    <row r="5401" spans="2:2">
      <c r="B5401" s="3"/>
    </row>
    <row r="5402" spans="2:2">
      <c r="B5402" s="3"/>
    </row>
    <row r="5403" spans="2:2">
      <c r="B5403" s="3"/>
    </row>
    <row r="5404" spans="2:2">
      <c r="B5404" s="3"/>
    </row>
    <row r="5405" spans="2:2">
      <c r="B5405" s="3"/>
    </row>
    <row r="5406" spans="2:2">
      <c r="B5406" s="3"/>
    </row>
    <row r="5407" spans="2:2">
      <c r="B5407" s="3"/>
    </row>
    <row r="5408" spans="2:2">
      <c r="B5408" s="3"/>
    </row>
    <row r="5409" spans="2:2">
      <c r="B5409" s="3"/>
    </row>
    <row r="5410" spans="2:2">
      <c r="B5410" s="3"/>
    </row>
    <row r="5411" spans="2:2">
      <c r="B5411" s="3"/>
    </row>
    <row r="5412" spans="2:2">
      <c r="B5412" s="3"/>
    </row>
    <row r="5413" spans="2:2">
      <c r="B5413" s="3"/>
    </row>
    <row r="5414" spans="2:2">
      <c r="B5414" s="3"/>
    </row>
    <row r="5415" spans="2:2">
      <c r="B5415" s="3"/>
    </row>
    <row r="5416" spans="2:2">
      <c r="B5416" s="3"/>
    </row>
    <row r="5417" spans="2:2">
      <c r="B5417" s="3"/>
    </row>
    <row r="5418" spans="2:2">
      <c r="B5418" s="3"/>
    </row>
    <row r="5419" spans="2:2">
      <c r="B5419" s="3"/>
    </row>
    <row r="5420" spans="2:2">
      <c r="B5420" s="3"/>
    </row>
    <row r="5421" spans="2:2">
      <c r="B5421" s="3"/>
    </row>
    <row r="5422" spans="2:2">
      <c r="B5422" s="3"/>
    </row>
    <row r="5423" spans="2:2">
      <c r="B5423" s="3"/>
    </row>
    <row r="5424" spans="2:2">
      <c r="B5424" s="3"/>
    </row>
    <row r="5425" spans="2:2">
      <c r="B5425" s="3"/>
    </row>
    <row r="5426" spans="2:2">
      <c r="B5426" s="3"/>
    </row>
    <row r="5427" spans="2:2">
      <c r="B5427" s="3"/>
    </row>
    <row r="5428" spans="2:2">
      <c r="B5428" s="3"/>
    </row>
    <row r="5429" spans="2:2">
      <c r="B5429" s="3"/>
    </row>
    <row r="5430" spans="2:2">
      <c r="B5430" s="3"/>
    </row>
    <row r="5431" spans="2:2">
      <c r="B5431" s="3"/>
    </row>
    <row r="5432" spans="2:2">
      <c r="B5432" s="3"/>
    </row>
    <row r="5433" spans="2:2">
      <c r="B5433" s="3"/>
    </row>
    <row r="5434" spans="2:2">
      <c r="B5434" s="3"/>
    </row>
    <row r="5435" spans="2:2">
      <c r="B5435" s="3"/>
    </row>
    <row r="5436" spans="2:2">
      <c r="B5436" s="3"/>
    </row>
    <row r="5437" spans="2:2">
      <c r="B5437" s="3"/>
    </row>
    <row r="5438" spans="2:2">
      <c r="B5438" s="3"/>
    </row>
    <row r="5439" spans="2:2">
      <c r="B5439" s="3"/>
    </row>
    <row r="5440" spans="2:2">
      <c r="B5440" s="3"/>
    </row>
    <row r="5441" spans="2:2">
      <c r="B5441" s="3"/>
    </row>
    <row r="5442" spans="2:2">
      <c r="B5442" s="3"/>
    </row>
    <row r="5443" spans="2:2">
      <c r="B5443" s="3"/>
    </row>
    <row r="5444" spans="2:2">
      <c r="B5444" s="3"/>
    </row>
    <row r="5445" spans="2:2">
      <c r="B5445" s="3"/>
    </row>
    <row r="5446" spans="2:2">
      <c r="B5446" s="3"/>
    </row>
    <row r="5447" spans="2:2">
      <c r="B5447" s="3"/>
    </row>
    <row r="5448" spans="2:2">
      <c r="B5448" s="3"/>
    </row>
    <row r="5449" spans="2:2">
      <c r="B5449" s="3"/>
    </row>
    <row r="5450" spans="2:2">
      <c r="B5450" s="3"/>
    </row>
    <row r="5451" spans="2:2">
      <c r="B5451" s="3"/>
    </row>
    <row r="5452" spans="2:2">
      <c r="B5452" s="3"/>
    </row>
    <row r="5453" spans="2:2">
      <c r="B5453" s="3"/>
    </row>
    <row r="5454" spans="2:2">
      <c r="B5454" s="3"/>
    </row>
    <row r="5455" spans="2:2">
      <c r="B5455" s="3"/>
    </row>
    <row r="5456" spans="2:2">
      <c r="B5456" s="3"/>
    </row>
    <row r="5457" spans="2:2">
      <c r="B5457" s="3"/>
    </row>
    <row r="5458" spans="2:2">
      <c r="B5458" s="3"/>
    </row>
    <row r="5459" spans="2:2">
      <c r="B5459" s="3"/>
    </row>
    <row r="5460" spans="2:2">
      <c r="B5460" s="3"/>
    </row>
    <row r="5461" spans="2:2">
      <c r="B5461" s="3"/>
    </row>
    <row r="5462" spans="2:2">
      <c r="B5462" s="3"/>
    </row>
    <row r="5463" spans="2:2">
      <c r="B5463" s="3"/>
    </row>
    <row r="5464" spans="2:2">
      <c r="B5464" s="3"/>
    </row>
    <row r="5465" spans="2:2">
      <c r="B5465" s="3"/>
    </row>
    <row r="5466" spans="2:2">
      <c r="B5466" s="3"/>
    </row>
    <row r="5467" spans="2:2">
      <c r="B5467" s="3"/>
    </row>
    <row r="5468" spans="2:2">
      <c r="B5468" s="3"/>
    </row>
    <row r="5469" spans="2:2">
      <c r="B5469" s="3"/>
    </row>
    <row r="5470" spans="2:2">
      <c r="B5470" s="3"/>
    </row>
    <row r="5471" spans="2:2">
      <c r="B5471" s="3"/>
    </row>
    <row r="5472" spans="2:2">
      <c r="B5472" s="3"/>
    </row>
    <row r="5473" spans="2:2">
      <c r="B5473" s="3"/>
    </row>
    <row r="5474" spans="2:2">
      <c r="B5474" s="3"/>
    </row>
    <row r="5475" spans="2:2">
      <c r="B5475" s="3"/>
    </row>
    <row r="5476" spans="2:2">
      <c r="B5476" s="3"/>
    </row>
    <row r="5477" spans="2:2">
      <c r="B5477" s="3"/>
    </row>
    <row r="5478" spans="2:2">
      <c r="B5478" s="3"/>
    </row>
    <row r="5479" spans="2:2">
      <c r="B5479" s="3"/>
    </row>
    <row r="5480" spans="2:2">
      <c r="B5480" s="3"/>
    </row>
    <row r="5481" spans="2:2">
      <c r="B5481" s="3"/>
    </row>
    <row r="5482" spans="2:2">
      <c r="B5482" s="3"/>
    </row>
    <row r="5483" spans="2:2">
      <c r="B5483" s="3"/>
    </row>
    <row r="5484" spans="2:2">
      <c r="B5484" s="3"/>
    </row>
    <row r="5485" spans="2:2">
      <c r="B5485" s="3"/>
    </row>
    <row r="5486" spans="2:2">
      <c r="B5486" s="3"/>
    </row>
    <row r="5487" spans="2:2">
      <c r="B5487" s="3"/>
    </row>
    <row r="5488" spans="2:2">
      <c r="B5488" s="3"/>
    </row>
    <row r="5489" spans="2:2">
      <c r="B5489" s="3"/>
    </row>
    <row r="5490" spans="2:2">
      <c r="B5490" s="3"/>
    </row>
    <row r="5491" spans="2:2">
      <c r="B5491" s="3"/>
    </row>
    <row r="5492" spans="2:2">
      <c r="B5492" s="3"/>
    </row>
    <row r="5493" spans="2:2">
      <c r="B5493" s="3"/>
    </row>
    <row r="5494" spans="2:2">
      <c r="B5494" s="3"/>
    </row>
    <row r="5495" spans="2:2">
      <c r="B5495" s="3"/>
    </row>
    <row r="5496" spans="2:2">
      <c r="B5496" s="3"/>
    </row>
    <row r="5497" spans="2:2">
      <c r="B5497" s="3"/>
    </row>
    <row r="5498" spans="2:2">
      <c r="B5498" s="3"/>
    </row>
    <row r="5499" spans="2:2">
      <c r="B5499" s="3"/>
    </row>
    <row r="5500" spans="2:2">
      <c r="B5500" s="3"/>
    </row>
    <row r="5501" spans="2:2">
      <c r="B5501" s="3"/>
    </row>
    <row r="5502" spans="2:2">
      <c r="B5502" s="3"/>
    </row>
    <row r="5503" spans="2:2">
      <c r="B5503" s="3"/>
    </row>
    <row r="5504" spans="2:2">
      <c r="B5504" s="3"/>
    </row>
    <row r="5505" spans="2:2">
      <c r="B5505" s="3"/>
    </row>
    <row r="5506" spans="2:2">
      <c r="B5506" s="3"/>
    </row>
    <row r="5507" spans="2:2">
      <c r="B5507" s="3"/>
    </row>
    <row r="5508" spans="2:2">
      <c r="B5508" s="3"/>
    </row>
    <row r="5509" spans="2:2">
      <c r="B5509" s="3"/>
    </row>
    <row r="5510" spans="2:2">
      <c r="B5510" s="3"/>
    </row>
    <row r="5511" spans="2:2">
      <c r="B5511" s="3"/>
    </row>
    <row r="5512" spans="2:2">
      <c r="B5512" s="3"/>
    </row>
    <row r="5513" spans="2:2">
      <c r="B5513" s="3"/>
    </row>
    <row r="5514" spans="2:2">
      <c r="B5514" s="3"/>
    </row>
    <row r="5515" spans="2:2">
      <c r="B5515" s="3"/>
    </row>
    <row r="5516" spans="2:2">
      <c r="B5516" s="3"/>
    </row>
    <row r="5517" spans="2:2">
      <c r="B5517" s="3"/>
    </row>
    <row r="5518" spans="2:2">
      <c r="B5518" s="3"/>
    </row>
    <row r="5519" spans="2:2">
      <c r="B5519" s="3"/>
    </row>
    <row r="5520" spans="2:2">
      <c r="B5520" s="3"/>
    </row>
    <row r="5521" spans="2:2">
      <c r="B5521" s="3"/>
    </row>
    <row r="5522" spans="2:2">
      <c r="B5522" s="3"/>
    </row>
    <row r="5523" spans="2:2">
      <c r="B5523" s="3"/>
    </row>
    <row r="5524" spans="2:2">
      <c r="B5524" s="3"/>
    </row>
    <row r="5525" spans="2:2">
      <c r="B5525" s="3"/>
    </row>
    <row r="5526" spans="2:2">
      <c r="B5526" s="3"/>
    </row>
    <row r="5527" spans="2:2">
      <c r="B5527" s="3"/>
    </row>
    <row r="5528" spans="2:2">
      <c r="B5528" s="3"/>
    </row>
    <row r="5529" spans="2:2">
      <c r="B5529" s="3"/>
    </row>
    <row r="5530" spans="2:2">
      <c r="B5530" s="3"/>
    </row>
    <row r="5531" spans="2:2">
      <c r="B5531" s="3"/>
    </row>
    <row r="5532" spans="2:2">
      <c r="B5532" s="3"/>
    </row>
    <row r="5533" spans="2:2">
      <c r="B5533" s="3"/>
    </row>
    <row r="5534" spans="2:2">
      <c r="B5534" s="3"/>
    </row>
    <row r="5535" spans="2:2">
      <c r="B5535" s="3"/>
    </row>
    <row r="5536" spans="2:2">
      <c r="B5536" s="3"/>
    </row>
    <row r="5537" spans="2:2">
      <c r="B5537" s="3"/>
    </row>
    <row r="5538" spans="2:2">
      <c r="B5538" s="3"/>
    </row>
    <row r="5539" spans="2:2">
      <c r="B5539" s="3"/>
    </row>
    <row r="5540" spans="2:2">
      <c r="B5540" s="3"/>
    </row>
    <row r="5541" spans="2:2">
      <c r="B5541" s="3"/>
    </row>
    <row r="5542" spans="2:2">
      <c r="B5542" s="3"/>
    </row>
    <row r="5543" spans="2:2">
      <c r="B5543" s="3"/>
    </row>
    <row r="5544" spans="2:2">
      <c r="B5544" s="3"/>
    </row>
    <row r="5545" spans="2:2">
      <c r="B5545" s="3"/>
    </row>
    <row r="5546" spans="2:2">
      <c r="B5546" s="3"/>
    </row>
    <row r="5547" spans="2:2">
      <c r="B5547" s="3"/>
    </row>
    <row r="5548" spans="2:2">
      <c r="B5548" s="3"/>
    </row>
    <row r="5549" spans="2:2">
      <c r="B5549" s="3"/>
    </row>
    <row r="5550" spans="2:2">
      <c r="B5550" s="3"/>
    </row>
    <row r="5551" spans="2:2">
      <c r="B5551" s="3"/>
    </row>
    <row r="5552" spans="2:2">
      <c r="B5552" s="3"/>
    </row>
    <row r="5553" spans="2:2">
      <c r="B5553" s="3"/>
    </row>
    <row r="5554" spans="2:2">
      <c r="B5554" s="3"/>
    </row>
    <row r="5555" spans="2:2">
      <c r="B5555" s="3"/>
    </row>
    <row r="5556" spans="2:2">
      <c r="B5556" s="3"/>
    </row>
    <row r="5557" spans="2:2">
      <c r="B5557" s="3"/>
    </row>
    <row r="5558" spans="2:2">
      <c r="B5558" s="3"/>
    </row>
    <row r="5559" spans="2:2">
      <c r="B5559" s="3"/>
    </row>
    <row r="5560" spans="2:2">
      <c r="B5560" s="3"/>
    </row>
    <row r="5561" spans="2:2">
      <c r="B5561" s="3"/>
    </row>
    <row r="5562" spans="2:2">
      <c r="B5562" s="3"/>
    </row>
    <row r="5563" spans="2:2">
      <c r="B5563" s="3"/>
    </row>
    <row r="5564" spans="2:2">
      <c r="B5564" s="3"/>
    </row>
    <row r="5565" spans="2:2">
      <c r="B5565" s="3"/>
    </row>
    <row r="5566" spans="2:2">
      <c r="B5566" s="3"/>
    </row>
    <row r="5567" spans="2:2">
      <c r="B5567" s="3"/>
    </row>
    <row r="5568" spans="2:2">
      <c r="B5568" s="3"/>
    </row>
    <row r="5569" spans="2:2">
      <c r="B5569" s="3"/>
    </row>
    <row r="5570" spans="2:2">
      <c r="B5570" s="3"/>
    </row>
    <row r="5571" spans="2:2">
      <c r="B5571" s="3"/>
    </row>
    <row r="5572" spans="2:2">
      <c r="B5572" s="3"/>
    </row>
    <row r="5573" spans="2:2">
      <c r="B5573" s="3"/>
    </row>
    <row r="5574" spans="2:2">
      <c r="B5574" s="3"/>
    </row>
    <row r="5575" spans="2:2">
      <c r="B5575" s="3"/>
    </row>
    <row r="5576" spans="2:2">
      <c r="B5576" s="3"/>
    </row>
    <row r="5577" spans="2:2">
      <c r="B5577" s="3"/>
    </row>
    <row r="5578" spans="2:2">
      <c r="B5578" s="3"/>
    </row>
    <row r="5579" spans="2:2">
      <c r="B5579" s="3"/>
    </row>
    <row r="5580" spans="2:2">
      <c r="B5580" s="3"/>
    </row>
    <row r="5581" spans="2:2">
      <c r="B5581" s="3"/>
    </row>
    <row r="5582" spans="2:2">
      <c r="B5582" s="3"/>
    </row>
    <row r="5583" spans="2:2">
      <c r="B5583" s="3"/>
    </row>
    <row r="5584" spans="2:2">
      <c r="B5584" s="3"/>
    </row>
    <row r="5585" spans="2:2">
      <c r="B5585" s="3"/>
    </row>
    <row r="5586" spans="2:2">
      <c r="B5586" s="3"/>
    </row>
    <row r="5587" spans="2:2">
      <c r="B5587" s="3"/>
    </row>
    <row r="5588" spans="2:2">
      <c r="B5588" s="3"/>
    </row>
    <row r="5589" spans="2:2">
      <c r="B5589" s="3"/>
    </row>
    <row r="5590" spans="2:2">
      <c r="B5590" s="3"/>
    </row>
    <row r="5591" spans="2:2">
      <c r="B5591" s="3"/>
    </row>
    <row r="5592" spans="2:2">
      <c r="B5592" s="3"/>
    </row>
    <row r="5593" spans="2:2">
      <c r="B5593" s="3"/>
    </row>
    <row r="5594" spans="2:2">
      <c r="B5594" s="3"/>
    </row>
    <row r="5595" spans="2:2">
      <c r="B5595" s="3"/>
    </row>
    <row r="5596" spans="2:2">
      <c r="B5596" s="3"/>
    </row>
    <row r="5597" spans="2:2">
      <c r="B5597" s="3"/>
    </row>
    <row r="5598" spans="2:2">
      <c r="B5598" s="3"/>
    </row>
    <row r="5599" spans="2:2">
      <c r="B5599" s="3"/>
    </row>
    <row r="5600" spans="2:2">
      <c r="B5600" s="3"/>
    </row>
    <row r="5601" spans="2:2">
      <c r="B5601" s="3"/>
    </row>
    <row r="5602" spans="2:2">
      <c r="B5602" s="3"/>
    </row>
    <row r="5603" spans="2:2">
      <c r="B5603" s="3"/>
    </row>
    <row r="5604" spans="2:2">
      <c r="B5604" s="3"/>
    </row>
    <row r="5605" spans="2:2">
      <c r="B5605" s="3"/>
    </row>
    <row r="5606" spans="2:2">
      <c r="B5606" s="3"/>
    </row>
    <row r="5607" spans="2:2">
      <c r="B5607" s="3"/>
    </row>
    <row r="5608" spans="2:2">
      <c r="B5608" s="3"/>
    </row>
    <row r="5609" spans="2:2">
      <c r="B5609" s="3"/>
    </row>
    <row r="5610" spans="2:2">
      <c r="B5610" s="3"/>
    </row>
    <row r="5611" spans="2:2">
      <c r="B5611" s="3"/>
    </row>
    <row r="5612" spans="2:2">
      <c r="B5612" s="3"/>
    </row>
    <row r="5613" spans="2:2">
      <c r="B5613" s="3"/>
    </row>
    <row r="5614" spans="2:2">
      <c r="B5614" s="3"/>
    </row>
    <row r="5615" spans="2:2">
      <c r="B5615" s="3"/>
    </row>
    <row r="5616" spans="2:2">
      <c r="B5616" s="3"/>
    </row>
    <row r="5617" spans="2:2">
      <c r="B5617" s="3"/>
    </row>
    <row r="5618" spans="2:2">
      <c r="B5618" s="3"/>
    </row>
    <row r="5619" spans="2:2">
      <c r="B5619" s="3"/>
    </row>
    <row r="5620" spans="2:2">
      <c r="B5620" s="3"/>
    </row>
    <row r="5621" spans="2:2">
      <c r="B5621" s="3"/>
    </row>
    <row r="5622" spans="2:2">
      <c r="B5622" s="3"/>
    </row>
    <row r="5623" spans="2:2">
      <c r="B5623" s="3"/>
    </row>
    <row r="5624" spans="2:2">
      <c r="B5624" s="3"/>
    </row>
    <row r="5625" spans="2:2">
      <c r="B5625" s="3"/>
    </row>
    <row r="5626" spans="2:2">
      <c r="B5626" s="3"/>
    </row>
    <row r="5627" spans="2:2">
      <c r="B5627" s="3"/>
    </row>
    <row r="5628" spans="2:2">
      <c r="B5628" s="3"/>
    </row>
    <row r="5629" spans="2:2">
      <c r="B5629" s="3"/>
    </row>
    <row r="5630" spans="2:2">
      <c r="B5630" s="3"/>
    </row>
    <row r="5631" spans="2:2">
      <c r="B5631" s="3"/>
    </row>
    <row r="5632" spans="2:2">
      <c r="B5632" s="3"/>
    </row>
    <row r="5633" spans="2:2">
      <c r="B5633" s="3"/>
    </row>
    <row r="5634" spans="2:2">
      <c r="B5634" s="3"/>
    </row>
    <row r="5635" spans="2:2">
      <c r="B5635" s="3"/>
    </row>
    <row r="5636" spans="2:2">
      <c r="B5636" s="3"/>
    </row>
    <row r="5637" spans="2:2">
      <c r="B5637" s="3"/>
    </row>
    <row r="5638" spans="2:2">
      <c r="B5638" s="3"/>
    </row>
    <row r="5639" spans="2:2">
      <c r="B5639" s="3"/>
    </row>
    <row r="5640" spans="2:2">
      <c r="B5640" s="3"/>
    </row>
    <row r="5641" spans="2:2">
      <c r="B5641" s="3"/>
    </row>
    <row r="5642" spans="2:2">
      <c r="B5642" s="3"/>
    </row>
    <row r="5643" spans="2:2">
      <c r="B5643" s="3"/>
    </row>
    <row r="5644" spans="2:2">
      <c r="B5644" s="3"/>
    </row>
    <row r="5645" spans="2:2">
      <c r="B5645" s="3"/>
    </row>
    <row r="5646" spans="2:2">
      <c r="B5646" s="3"/>
    </row>
    <row r="5647" spans="2:2">
      <c r="B5647" s="3"/>
    </row>
    <row r="5648" spans="2:2">
      <c r="B5648" s="3"/>
    </row>
    <row r="5649" spans="2:2">
      <c r="B5649" s="3"/>
    </row>
    <row r="5650" spans="2:2">
      <c r="B5650" s="3"/>
    </row>
    <row r="5651" spans="2:2">
      <c r="B5651" s="3"/>
    </row>
    <row r="5652" spans="2:2">
      <c r="B5652" s="3"/>
    </row>
    <row r="5653" spans="2:2">
      <c r="B5653" s="3"/>
    </row>
    <row r="5654" spans="2:2">
      <c r="B5654" s="3"/>
    </row>
    <row r="5655" spans="2:2">
      <c r="B5655" s="3"/>
    </row>
    <row r="5656" spans="2:2">
      <c r="B5656" s="3"/>
    </row>
    <row r="5657" spans="2:2">
      <c r="B5657" s="3"/>
    </row>
    <row r="5658" spans="2:2">
      <c r="B5658" s="3"/>
    </row>
    <row r="5659" spans="2:2">
      <c r="B5659" s="3"/>
    </row>
    <row r="5660" spans="2:2">
      <c r="B5660" s="3"/>
    </row>
    <row r="5661" spans="2:2">
      <c r="B5661" s="3"/>
    </row>
    <row r="5662" spans="2:2">
      <c r="B5662" s="3"/>
    </row>
    <row r="5663" spans="2:2">
      <c r="B5663" s="3"/>
    </row>
    <row r="5664" spans="2:2">
      <c r="B5664" s="3"/>
    </row>
    <row r="5665" spans="2:2">
      <c r="B5665" s="3"/>
    </row>
    <row r="5666" spans="2:2">
      <c r="B5666" s="3"/>
    </row>
    <row r="5667" spans="2:2">
      <c r="B5667" s="3"/>
    </row>
    <row r="5668" spans="2:2">
      <c r="B5668" s="3"/>
    </row>
    <row r="5669" spans="2:2">
      <c r="B5669" s="3"/>
    </row>
    <row r="5670" spans="2:2">
      <c r="B5670" s="3"/>
    </row>
    <row r="5671" spans="2:2">
      <c r="B5671" s="3"/>
    </row>
    <row r="5672" spans="2:2">
      <c r="B5672" s="3"/>
    </row>
    <row r="5673" spans="2:2">
      <c r="B5673" s="3"/>
    </row>
    <row r="5674" spans="2:2">
      <c r="B5674" s="3"/>
    </row>
    <row r="5675" spans="2:2">
      <c r="B5675" s="3"/>
    </row>
    <row r="5676" spans="2:2">
      <c r="B5676" s="3"/>
    </row>
    <row r="5677" spans="2:2">
      <c r="B5677" s="3"/>
    </row>
    <row r="5678" spans="2:2">
      <c r="B5678" s="3"/>
    </row>
    <row r="5679" spans="2:2">
      <c r="B5679" s="3"/>
    </row>
    <row r="5680" spans="2:2">
      <c r="B5680" s="3"/>
    </row>
    <row r="5681" spans="2:2">
      <c r="B5681" s="3"/>
    </row>
    <row r="5682" spans="2:2">
      <c r="B5682" s="3"/>
    </row>
    <row r="5683" spans="2:2">
      <c r="B5683" s="3"/>
    </row>
    <row r="5684" spans="2:2">
      <c r="B5684" s="3"/>
    </row>
    <row r="5685" spans="2:2">
      <c r="B5685" s="3"/>
    </row>
    <row r="5686" spans="2:2">
      <c r="B5686" s="3"/>
    </row>
    <row r="5687" spans="2:2">
      <c r="B5687" s="3"/>
    </row>
    <row r="5688" spans="2:2">
      <c r="B5688" s="3"/>
    </row>
    <row r="5689" spans="2:2">
      <c r="B5689" s="3"/>
    </row>
    <row r="5690" spans="2:2">
      <c r="B5690" s="3"/>
    </row>
    <row r="5691" spans="2:2">
      <c r="B5691" s="3"/>
    </row>
    <row r="5692" spans="2:2">
      <c r="B5692" s="3"/>
    </row>
    <row r="5693" spans="2:2">
      <c r="B5693" s="3"/>
    </row>
    <row r="5694" spans="2:2">
      <c r="B5694" s="3"/>
    </row>
    <row r="5695" spans="2:2">
      <c r="B5695" s="3"/>
    </row>
    <row r="5696" spans="2:2">
      <c r="B5696" s="3"/>
    </row>
    <row r="5697" spans="2:2">
      <c r="B5697" s="3"/>
    </row>
    <row r="5698" spans="2:2">
      <c r="B5698" s="3"/>
    </row>
    <row r="5699" spans="2:2">
      <c r="B5699" s="3"/>
    </row>
    <row r="5700" spans="2:2">
      <c r="B5700" s="3"/>
    </row>
    <row r="5701" spans="2:2">
      <c r="B5701" s="3"/>
    </row>
    <row r="5702" spans="2:2">
      <c r="B5702" s="3"/>
    </row>
    <row r="5703" spans="2:2">
      <c r="B5703" s="3"/>
    </row>
    <row r="5704" spans="2:2">
      <c r="B5704" s="3"/>
    </row>
    <row r="5705" spans="2:2">
      <c r="B5705" s="3"/>
    </row>
    <row r="5706" spans="2:2">
      <c r="B5706" s="3"/>
    </row>
    <row r="5707" spans="2:2">
      <c r="B5707" s="3"/>
    </row>
    <row r="5708" spans="2:2">
      <c r="B5708" s="3"/>
    </row>
    <row r="5709" spans="2:2">
      <c r="B5709" s="3"/>
    </row>
    <row r="5710" spans="2:2">
      <c r="B5710" s="3"/>
    </row>
    <row r="5711" spans="2:2">
      <c r="B5711" s="3"/>
    </row>
    <row r="5712" spans="2:2">
      <c r="B5712" s="3"/>
    </row>
    <row r="5713" spans="2:2">
      <c r="B5713" s="3"/>
    </row>
    <row r="5714" spans="2:2">
      <c r="B5714" s="3"/>
    </row>
    <row r="5715" spans="2:2">
      <c r="B5715" s="3"/>
    </row>
    <row r="5716" spans="2:2">
      <c r="B5716" s="3"/>
    </row>
    <row r="5717" spans="2:2">
      <c r="B5717" s="3"/>
    </row>
    <row r="5718" spans="2:2">
      <c r="B5718" s="3"/>
    </row>
    <row r="5719" spans="2:2">
      <c r="B5719" s="3"/>
    </row>
    <row r="5720" spans="2:2">
      <c r="B5720" s="3"/>
    </row>
    <row r="5721" spans="2:2">
      <c r="B5721" s="3"/>
    </row>
    <row r="5722" spans="2:2">
      <c r="B5722" s="3"/>
    </row>
    <row r="5723" spans="2:2">
      <c r="B5723" s="3"/>
    </row>
    <row r="5724" spans="2:2">
      <c r="B5724" s="3"/>
    </row>
    <row r="5725" spans="2:2">
      <c r="B5725" s="3"/>
    </row>
    <row r="5726" spans="2:2">
      <c r="B5726" s="3"/>
    </row>
    <row r="5727" spans="2:2">
      <c r="B5727" s="3"/>
    </row>
    <row r="5728" spans="2:2">
      <c r="B5728" s="3"/>
    </row>
    <row r="5729" spans="2:2">
      <c r="B5729" s="3"/>
    </row>
    <row r="5730" spans="2:2">
      <c r="B5730" s="3"/>
    </row>
    <row r="5731" spans="2:2">
      <c r="B5731" s="3"/>
    </row>
    <row r="5732" spans="2:2">
      <c r="B5732" s="3"/>
    </row>
    <row r="5733" spans="2:2">
      <c r="B5733" s="3"/>
    </row>
    <row r="5734" spans="2:2">
      <c r="B5734" s="3"/>
    </row>
    <row r="5735" spans="2:2">
      <c r="B5735" s="3"/>
    </row>
    <row r="5736" spans="2:2">
      <c r="B5736" s="3"/>
    </row>
    <row r="5737" spans="2:2">
      <c r="B5737" s="3"/>
    </row>
    <row r="5738" spans="2:2">
      <c r="B5738" s="3"/>
    </row>
    <row r="5739" spans="2:2">
      <c r="B5739" s="3"/>
    </row>
    <row r="5740" spans="2:2">
      <c r="B5740" s="3"/>
    </row>
    <row r="5741" spans="2:2">
      <c r="B5741" s="3"/>
    </row>
    <row r="5742" spans="2:2">
      <c r="B5742" s="3"/>
    </row>
    <row r="5743" spans="2:2">
      <c r="B5743" s="3"/>
    </row>
    <row r="5744" spans="2:2">
      <c r="B5744" s="3"/>
    </row>
    <row r="5745" spans="2:2">
      <c r="B5745" s="3"/>
    </row>
    <row r="5746" spans="2:2">
      <c r="B5746" s="3"/>
    </row>
    <row r="5747" spans="2:2">
      <c r="B5747" s="3"/>
    </row>
    <row r="5748" spans="2:2">
      <c r="B5748" s="3"/>
    </row>
    <row r="5749" spans="2:2">
      <c r="B5749" s="3"/>
    </row>
    <row r="5750" spans="2:2">
      <c r="B5750" s="3"/>
    </row>
    <row r="5751" spans="2:2">
      <c r="B5751" s="3"/>
    </row>
    <row r="5752" spans="2:2">
      <c r="B5752" s="3"/>
    </row>
    <row r="5753" spans="2:2">
      <c r="B5753" s="3"/>
    </row>
    <row r="5754" spans="2:2">
      <c r="B5754" s="3"/>
    </row>
    <row r="5755" spans="2:2">
      <c r="B5755" s="3"/>
    </row>
    <row r="5756" spans="2:2">
      <c r="B5756" s="3"/>
    </row>
    <row r="5757" spans="2:2">
      <c r="B5757" s="3"/>
    </row>
    <row r="5758" spans="2:2">
      <c r="B5758" s="3"/>
    </row>
    <row r="5759" spans="2:2">
      <c r="B5759" s="3"/>
    </row>
    <row r="5760" spans="2:2">
      <c r="B5760" s="3"/>
    </row>
    <row r="5761" spans="2:2">
      <c r="B5761" s="3"/>
    </row>
    <row r="5762" spans="2:2">
      <c r="B5762" s="3"/>
    </row>
    <row r="5763" spans="2:2">
      <c r="B5763" s="3"/>
    </row>
    <row r="5764" spans="2:2">
      <c r="B5764" s="3"/>
    </row>
    <row r="5765" spans="2:2">
      <c r="B5765" s="3"/>
    </row>
    <row r="5766" spans="2:2">
      <c r="B5766" s="3"/>
    </row>
    <row r="5767" spans="2:2">
      <c r="B5767" s="3"/>
    </row>
    <row r="5768" spans="2:2">
      <c r="B5768" s="3"/>
    </row>
    <row r="5769" spans="2:2">
      <c r="B5769" s="3"/>
    </row>
    <row r="5770" spans="2:2">
      <c r="B5770" s="3"/>
    </row>
    <row r="5771" spans="2:2">
      <c r="B5771" s="3"/>
    </row>
    <row r="5772" spans="2:2">
      <c r="B5772" s="3"/>
    </row>
    <row r="5773" spans="2:2">
      <c r="B5773" s="3"/>
    </row>
    <row r="5774" spans="2:2">
      <c r="B5774" s="3"/>
    </row>
    <row r="5775" spans="2:2">
      <c r="B5775" s="3"/>
    </row>
    <row r="5776" spans="2:2">
      <c r="B5776" s="3"/>
    </row>
    <row r="5777" spans="2:2">
      <c r="B5777" s="3"/>
    </row>
    <row r="5778" spans="2:2">
      <c r="B5778" s="3"/>
    </row>
    <row r="5779" spans="2:2">
      <c r="B5779" s="3"/>
    </row>
    <row r="5780" spans="2:2">
      <c r="B5780" s="3"/>
    </row>
    <row r="5781" spans="2:2">
      <c r="B5781" s="3"/>
    </row>
    <row r="5782" spans="2:2">
      <c r="B5782" s="3"/>
    </row>
    <row r="5783" spans="2:2">
      <c r="B5783" s="3"/>
    </row>
    <row r="5784" spans="2:2">
      <c r="B5784" s="3"/>
    </row>
    <row r="5785" spans="2:2">
      <c r="B5785" s="3"/>
    </row>
    <row r="5786" spans="2:2">
      <c r="B5786" s="3"/>
    </row>
    <row r="5787" spans="2:2">
      <c r="B5787" s="3"/>
    </row>
    <row r="5788" spans="2:2">
      <c r="B5788" s="3"/>
    </row>
    <row r="5789" spans="2:2">
      <c r="B5789" s="3"/>
    </row>
    <row r="5790" spans="2:2">
      <c r="B5790" s="3"/>
    </row>
    <row r="5791" spans="2:2">
      <c r="B5791" s="3"/>
    </row>
    <row r="5792" spans="2:2">
      <c r="B5792" s="3"/>
    </row>
    <row r="5793" spans="2:2">
      <c r="B5793" s="3"/>
    </row>
    <row r="5794" spans="2:2">
      <c r="B5794" s="3"/>
    </row>
    <row r="5795" spans="2:2">
      <c r="B5795" s="3"/>
    </row>
    <row r="5796" spans="2:2">
      <c r="B5796" s="3"/>
    </row>
    <row r="5797" spans="2:2">
      <c r="B5797" s="3"/>
    </row>
    <row r="5798" spans="2:2">
      <c r="B5798" s="3"/>
    </row>
    <row r="5799" spans="2:2">
      <c r="B5799" s="3"/>
    </row>
    <row r="5800" spans="2:2">
      <c r="B5800" s="3"/>
    </row>
    <row r="5801" spans="2:2">
      <c r="B5801" s="3"/>
    </row>
    <row r="5802" spans="2:2">
      <c r="B5802" s="3"/>
    </row>
    <row r="5803" spans="2:2">
      <c r="B5803" s="3"/>
    </row>
    <row r="5804" spans="2:2">
      <c r="B5804" s="3"/>
    </row>
    <row r="5805" spans="2:2">
      <c r="B5805" s="3"/>
    </row>
    <row r="5806" spans="2:2">
      <c r="B5806" s="3"/>
    </row>
    <row r="5807" spans="2:2">
      <c r="B5807" s="3"/>
    </row>
    <row r="5808" spans="2:2">
      <c r="B5808" s="3"/>
    </row>
    <row r="5809" spans="2:2">
      <c r="B5809" s="3"/>
    </row>
    <row r="5810" spans="2:2">
      <c r="B5810" s="3"/>
    </row>
    <row r="5811" spans="2:2">
      <c r="B5811" s="3"/>
    </row>
    <row r="5812" spans="2:2">
      <c r="B5812" s="3"/>
    </row>
    <row r="5813" spans="2:2">
      <c r="B5813" s="3"/>
    </row>
    <row r="5814" spans="2:2">
      <c r="B5814" s="3"/>
    </row>
    <row r="5815" spans="2:2">
      <c r="B5815" s="3"/>
    </row>
    <row r="5816" spans="2:2">
      <c r="B5816" s="3"/>
    </row>
    <row r="5817" spans="2:2">
      <c r="B5817" s="3"/>
    </row>
    <row r="5818" spans="2:2">
      <c r="B5818" s="3"/>
    </row>
    <row r="5819" spans="2:2">
      <c r="B5819" s="3"/>
    </row>
    <row r="5820" spans="2:2">
      <c r="B5820" s="3"/>
    </row>
    <row r="5821" spans="2:2">
      <c r="B5821" s="3"/>
    </row>
    <row r="5822" spans="2:2">
      <c r="B5822" s="3"/>
    </row>
    <row r="5823" spans="2:2">
      <c r="B5823" s="3"/>
    </row>
    <row r="5824" spans="2:2">
      <c r="B5824" s="3"/>
    </row>
    <row r="5825" spans="2:2">
      <c r="B5825" s="3"/>
    </row>
    <row r="5826" spans="2:2">
      <c r="B5826" s="3"/>
    </row>
    <row r="5827" spans="2:2">
      <c r="B5827" s="3"/>
    </row>
    <row r="5828" spans="2:2">
      <c r="B5828" s="3"/>
    </row>
    <row r="5829" spans="2:2">
      <c r="B5829" s="3"/>
    </row>
    <row r="5830" spans="2:2">
      <c r="B5830" s="3"/>
    </row>
    <row r="5831" spans="2:2">
      <c r="B5831" s="3"/>
    </row>
    <row r="5832" spans="2:2">
      <c r="B5832" s="3"/>
    </row>
    <row r="5833" spans="2:2">
      <c r="B5833" s="3"/>
    </row>
    <row r="5834" spans="2:2">
      <c r="B5834" s="3"/>
    </row>
    <row r="5835" spans="2:2">
      <c r="B5835" s="3"/>
    </row>
    <row r="5836" spans="2:2">
      <c r="B5836" s="3"/>
    </row>
    <row r="5837" spans="2:2">
      <c r="B5837" s="3"/>
    </row>
    <row r="5838" spans="2:2">
      <c r="B5838" s="3"/>
    </row>
    <row r="5839" spans="2:2">
      <c r="B5839" s="3"/>
    </row>
    <row r="5840" spans="2:2">
      <c r="B5840" s="3"/>
    </row>
    <row r="5841" spans="2:2">
      <c r="B5841" s="3"/>
    </row>
    <row r="5842" spans="2:2">
      <c r="B5842" s="3"/>
    </row>
    <row r="5843" spans="2:2">
      <c r="B5843" s="3"/>
    </row>
    <row r="5844" spans="2:2">
      <c r="B5844" s="3"/>
    </row>
    <row r="5845" spans="2:2">
      <c r="B5845" s="3"/>
    </row>
    <row r="5846" spans="2:2">
      <c r="B5846" s="3"/>
    </row>
    <row r="5847" spans="2:2">
      <c r="B5847" s="3"/>
    </row>
    <row r="5848" spans="2:2">
      <c r="B5848" s="3"/>
    </row>
    <row r="5849" spans="2:2">
      <c r="B5849" s="3"/>
    </row>
    <row r="5850" spans="2:2">
      <c r="B5850" s="3"/>
    </row>
    <row r="5851" spans="2:2">
      <c r="B5851" s="3"/>
    </row>
    <row r="5852" spans="2:2">
      <c r="B5852" s="3"/>
    </row>
    <row r="5853" spans="2:2">
      <c r="B5853" s="3"/>
    </row>
    <row r="5854" spans="2:2">
      <c r="B5854" s="3"/>
    </row>
    <row r="5855" spans="2:2">
      <c r="B5855" s="3"/>
    </row>
    <row r="5856" spans="2:2">
      <c r="B5856" s="3"/>
    </row>
    <row r="5857" spans="2:2">
      <c r="B5857" s="3"/>
    </row>
    <row r="5858" spans="2:2">
      <c r="B5858" s="3"/>
    </row>
    <row r="5859" spans="2:2">
      <c r="B5859" s="3"/>
    </row>
    <row r="5860" spans="2:2">
      <c r="B5860" s="3"/>
    </row>
    <row r="5861" spans="2:2">
      <c r="B5861" s="3"/>
    </row>
    <row r="5862" spans="2:2">
      <c r="B5862" s="3"/>
    </row>
    <row r="5863" spans="2:2">
      <c r="B5863" s="3"/>
    </row>
    <row r="5864" spans="2:2">
      <c r="B5864" s="3"/>
    </row>
    <row r="5865" spans="2:2">
      <c r="B5865" s="3"/>
    </row>
    <row r="5866" spans="2:2">
      <c r="B5866" s="3"/>
    </row>
    <row r="5867" spans="2:2">
      <c r="B5867" s="3"/>
    </row>
    <row r="5868" spans="2:2">
      <c r="B5868" s="3"/>
    </row>
    <row r="5869" spans="2:2">
      <c r="B5869" s="3"/>
    </row>
    <row r="5870" spans="2:2">
      <c r="B5870" s="3"/>
    </row>
    <row r="5871" spans="2:2">
      <c r="B5871" s="3"/>
    </row>
    <row r="5872" spans="2:2">
      <c r="B5872" s="3"/>
    </row>
    <row r="5873" spans="2:2">
      <c r="B5873" s="3"/>
    </row>
    <row r="5874" spans="2:2">
      <c r="B5874" s="3"/>
    </row>
    <row r="5875" spans="2:2">
      <c r="B5875" s="3"/>
    </row>
    <row r="5876" spans="2:2">
      <c r="B5876" s="3"/>
    </row>
    <row r="5877" spans="2:2">
      <c r="B5877" s="3"/>
    </row>
    <row r="5878" spans="2:2">
      <c r="B5878" s="3"/>
    </row>
    <row r="5879" spans="2:2">
      <c r="B5879" s="3"/>
    </row>
    <row r="5880" spans="2:2">
      <c r="B5880" s="3"/>
    </row>
    <row r="5881" spans="2:2">
      <c r="B5881" s="3"/>
    </row>
    <row r="5882" spans="2:2">
      <c r="B5882" s="3"/>
    </row>
    <row r="5883" spans="2:2">
      <c r="B5883" s="3"/>
    </row>
    <row r="5884" spans="2:2">
      <c r="B5884" s="3"/>
    </row>
    <row r="5885" spans="2:2">
      <c r="B5885" s="3"/>
    </row>
    <row r="5886" spans="2:2">
      <c r="B5886" s="3"/>
    </row>
    <row r="5887" spans="2:2">
      <c r="B5887" s="3"/>
    </row>
    <row r="5888" spans="2:2">
      <c r="B5888" s="3"/>
    </row>
    <row r="5889" spans="2:2">
      <c r="B5889" s="3"/>
    </row>
    <row r="5890" spans="2:2">
      <c r="B5890" s="3"/>
    </row>
    <row r="5891" spans="2:2">
      <c r="B5891" s="3"/>
    </row>
    <row r="5892" spans="2:2">
      <c r="B5892" s="3"/>
    </row>
    <row r="5893" spans="2:2">
      <c r="B5893" s="3"/>
    </row>
    <row r="5894" spans="2:2">
      <c r="B5894" s="3"/>
    </row>
    <row r="5895" spans="2:2">
      <c r="B5895" s="3"/>
    </row>
    <row r="5896" spans="2:2">
      <c r="B5896" s="3"/>
    </row>
    <row r="5897" spans="2:2">
      <c r="B5897" s="3"/>
    </row>
    <row r="5898" spans="2:2">
      <c r="B5898" s="3"/>
    </row>
    <row r="5899" spans="2:2">
      <c r="B5899" s="3"/>
    </row>
    <row r="5900" spans="2:2">
      <c r="B5900" s="3"/>
    </row>
    <row r="5901" spans="2:2">
      <c r="B5901" s="3"/>
    </row>
    <row r="5902" spans="2:2">
      <c r="B5902" s="3"/>
    </row>
    <row r="5903" spans="2:2">
      <c r="B5903" s="3"/>
    </row>
    <row r="5904" spans="2:2">
      <c r="B5904" s="3"/>
    </row>
    <row r="5905" spans="2:2">
      <c r="B5905" s="3"/>
    </row>
    <row r="5906" spans="2:2">
      <c r="B5906" s="3"/>
    </row>
    <row r="5907" spans="2:2">
      <c r="B5907" s="3"/>
    </row>
    <row r="5908" spans="2:2">
      <c r="B5908" s="3"/>
    </row>
    <row r="5909" spans="2:2">
      <c r="B5909" s="3"/>
    </row>
    <row r="5910" spans="2:2">
      <c r="B5910" s="3"/>
    </row>
    <row r="5911" spans="2:2">
      <c r="B5911" s="3"/>
    </row>
    <row r="5912" spans="2:2">
      <c r="B5912" s="3"/>
    </row>
    <row r="5913" spans="2:2">
      <c r="B5913" s="3"/>
    </row>
    <row r="5914" spans="2:2">
      <c r="B5914" s="3"/>
    </row>
    <row r="5915" spans="2:2">
      <c r="B5915" s="3"/>
    </row>
    <row r="5916" spans="2:2">
      <c r="B5916" s="3"/>
    </row>
    <row r="5917" spans="2:2">
      <c r="B5917" s="3"/>
    </row>
    <row r="5918" spans="2:2">
      <c r="B5918" s="3"/>
    </row>
    <row r="5919" spans="2:2">
      <c r="B5919" s="3"/>
    </row>
    <row r="5920" spans="2:2">
      <c r="B5920" s="3"/>
    </row>
    <row r="5921" spans="2:2">
      <c r="B5921" s="3"/>
    </row>
    <row r="5922" spans="2:2">
      <c r="B5922" s="3"/>
    </row>
    <row r="5923" spans="2:2">
      <c r="B5923" s="3"/>
    </row>
    <row r="5924" spans="2:2">
      <c r="B5924" s="3"/>
    </row>
    <row r="5925" spans="2:2">
      <c r="B5925" s="3"/>
    </row>
    <row r="5926" spans="2:2">
      <c r="B5926" s="3"/>
    </row>
    <row r="5927" spans="2:2">
      <c r="B5927" s="3"/>
    </row>
    <row r="5928" spans="2:2">
      <c r="B5928" s="3"/>
    </row>
    <row r="5929" spans="2:2">
      <c r="B5929" s="3"/>
    </row>
    <row r="5930" spans="2:2">
      <c r="B5930" s="3"/>
    </row>
    <row r="5931" spans="2:2">
      <c r="B5931" s="3"/>
    </row>
    <row r="5932" spans="2:2">
      <c r="B5932" s="3"/>
    </row>
    <row r="5933" spans="2:2">
      <c r="B5933" s="3"/>
    </row>
    <row r="5934" spans="2:2">
      <c r="B5934" s="3"/>
    </row>
    <row r="5935" spans="2:2">
      <c r="B5935" s="3"/>
    </row>
    <row r="5936" spans="2:2">
      <c r="B5936" s="3"/>
    </row>
    <row r="5937" spans="2:2">
      <c r="B5937" s="3"/>
    </row>
    <row r="5938" spans="2:2">
      <c r="B5938" s="3"/>
    </row>
    <row r="5939" spans="2:2">
      <c r="B5939" s="3"/>
    </row>
    <row r="5940" spans="2:2">
      <c r="B5940" s="3"/>
    </row>
    <row r="5941" spans="2:2">
      <c r="B5941" s="3"/>
    </row>
    <row r="5942" spans="2:2">
      <c r="B5942" s="3"/>
    </row>
    <row r="5943" spans="2:2">
      <c r="B5943" s="3"/>
    </row>
    <row r="5944" spans="2:2">
      <c r="B5944" s="3"/>
    </row>
    <row r="5945" spans="2:2">
      <c r="B5945" s="3"/>
    </row>
    <row r="5946" spans="2:2">
      <c r="B5946" s="3"/>
    </row>
    <row r="5947" spans="2:2">
      <c r="B5947" s="3"/>
    </row>
    <row r="5948" spans="2:2">
      <c r="B5948" s="3"/>
    </row>
    <row r="5949" spans="2:2">
      <c r="B5949" s="3"/>
    </row>
    <row r="5950" spans="2:2">
      <c r="B5950" s="3"/>
    </row>
    <row r="5951" spans="2:2">
      <c r="B5951" s="3"/>
    </row>
    <row r="5952" spans="2:2">
      <c r="B5952" s="3"/>
    </row>
    <row r="5953" spans="2:2">
      <c r="B5953" s="3"/>
    </row>
    <row r="5954" spans="2:2">
      <c r="B5954" s="3"/>
    </row>
    <row r="5955" spans="2:2">
      <c r="B5955" s="3"/>
    </row>
    <row r="5956" spans="2:2">
      <c r="B5956" s="3"/>
    </row>
    <row r="5957" spans="2:2">
      <c r="B5957" s="3"/>
    </row>
    <row r="5958" spans="2:2">
      <c r="B5958" s="3"/>
    </row>
    <row r="5959" spans="2:2">
      <c r="B5959" s="3"/>
    </row>
    <row r="5960" spans="2:2">
      <c r="B5960" s="3"/>
    </row>
    <row r="5961" spans="2:2">
      <c r="B5961" s="3"/>
    </row>
    <row r="5962" spans="2:2">
      <c r="B5962" s="3"/>
    </row>
    <row r="5963" spans="2:2">
      <c r="B5963" s="3"/>
    </row>
    <row r="5964" spans="2:2">
      <c r="B5964" s="3"/>
    </row>
    <row r="5965" spans="2:2">
      <c r="B5965" s="3"/>
    </row>
    <row r="5966" spans="2:2">
      <c r="B5966" s="3"/>
    </row>
    <row r="5967" spans="2:2">
      <c r="B5967" s="3"/>
    </row>
    <row r="5968" spans="2:2">
      <c r="B5968" s="3"/>
    </row>
    <row r="5969" spans="2:2">
      <c r="B5969" s="3"/>
    </row>
    <row r="5970" spans="2:2">
      <c r="B5970" s="3"/>
    </row>
    <row r="5971" spans="2:2">
      <c r="B5971" s="3"/>
    </row>
    <row r="5972" spans="2:2">
      <c r="B5972" s="3"/>
    </row>
    <row r="5973" spans="2:2">
      <c r="B5973" s="3"/>
    </row>
    <row r="5974" spans="2:2">
      <c r="B5974" s="3"/>
    </row>
    <row r="5975" spans="2:2">
      <c r="B5975" s="3"/>
    </row>
    <row r="5976" spans="2:2">
      <c r="B5976" s="3"/>
    </row>
    <row r="5977" spans="2:2">
      <c r="B5977" s="3"/>
    </row>
    <row r="5978" spans="2:2">
      <c r="B5978" s="3"/>
    </row>
    <row r="5979" spans="2:2">
      <c r="B5979" s="3"/>
    </row>
    <row r="5980" spans="2:2">
      <c r="B5980" s="3"/>
    </row>
    <row r="5981" spans="2:2">
      <c r="B5981" s="3"/>
    </row>
    <row r="5982" spans="2:2">
      <c r="B5982" s="3"/>
    </row>
    <row r="5983" spans="2:2">
      <c r="B5983" s="3"/>
    </row>
    <row r="5984" spans="2:2">
      <c r="B5984" s="3"/>
    </row>
    <row r="5985" spans="2:2">
      <c r="B5985" s="3"/>
    </row>
    <row r="5986" spans="2:2">
      <c r="B5986" s="3"/>
    </row>
    <row r="5987" spans="2:2">
      <c r="B5987" s="3"/>
    </row>
    <row r="5988" spans="2:2">
      <c r="B5988" s="3"/>
    </row>
    <row r="5989" spans="2:2">
      <c r="B5989" s="3"/>
    </row>
    <row r="5990" spans="2:2">
      <c r="B5990" s="3"/>
    </row>
    <row r="5991" spans="2:2">
      <c r="B5991" s="3"/>
    </row>
    <row r="5992" spans="2:2">
      <c r="B5992" s="3"/>
    </row>
    <row r="5993" spans="2:2">
      <c r="B5993" s="3"/>
    </row>
    <row r="5994" spans="2:2">
      <c r="B5994" s="3"/>
    </row>
    <row r="5995" spans="2:2">
      <c r="B5995" s="3"/>
    </row>
    <row r="5996" spans="2:2">
      <c r="B5996" s="3"/>
    </row>
    <row r="5997" spans="2:2">
      <c r="B5997" s="3"/>
    </row>
    <row r="5998" spans="2:2">
      <c r="B5998" s="3"/>
    </row>
    <row r="5999" spans="2:2">
      <c r="B5999" s="3"/>
    </row>
    <row r="6000" spans="2:2">
      <c r="B6000" s="3"/>
    </row>
    <row r="6001" spans="2:2">
      <c r="B6001" s="3"/>
    </row>
    <row r="6002" spans="2:2">
      <c r="B6002" s="3"/>
    </row>
    <row r="6003" spans="2:2">
      <c r="B6003" s="3"/>
    </row>
    <row r="6004" spans="2:2">
      <c r="B6004" s="3"/>
    </row>
    <row r="6005" spans="2:2">
      <c r="B6005" s="3"/>
    </row>
    <row r="6006" spans="2:2">
      <c r="B6006" s="3"/>
    </row>
    <row r="6007" spans="2:2">
      <c r="B6007" s="3"/>
    </row>
    <row r="6008" spans="2:2">
      <c r="B6008" s="3"/>
    </row>
    <row r="6009" spans="2:2">
      <c r="B6009" s="3"/>
    </row>
    <row r="6010" spans="2:2">
      <c r="B6010" s="3"/>
    </row>
    <row r="6011" spans="2:2">
      <c r="B6011" s="3"/>
    </row>
    <row r="6012" spans="2:2">
      <c r="B6012" s="3"/>
    </row>
    <row r="6013" spans="2:2">
      <c r="B6013" s="3"/>
    </row>
    <row r="6014" spans="2:2">
      <c r="B6014" s="3"/>
    </row>
    <row r="6015" spans="2:2">
      <c r="B6015" s="3"/>
    </row>
    <row r="6016" spans="2:2">
      <c r="B6016" s="3"/>
    </row>
    <row r="6017" spans="2:2">
      <c r="B6017" s="3"/>
    </row>
    <row r="6018" spans="2:2">
      <c r="B6018" s="3"/>
    </row>
    <row r="6019" spans="2:2">
      <c r="B6019" s="3"/>
    </row>
    <row r="6020" spans="2:2">
      <c r="B6020" s="3"/>
    </row>
    <row r="6021" spans="2:2">
      <c r="B6021" s="3"/>
    </row>
    <row r="6022" spans="2:2">
      <c r="B6022" s="3"/>
    </row>
    <row r="6023" spans="2:2">
      <c r="B6023" s="3"/>
    </row>
    <row r="6024" spans="2:2">
      <c r="B6024" s="3"/>
    </row>
    <row r="6025" spans="2:2">
      <c r="B6025" s="3"/>
    </row>
    <row r="6026" spans="2:2">
      <c r="B6026" s="3"/>
    </row>
    <row r="6027" spans="2:2">
      <c r="B6027" s="3"/>
    </row>
    <row r="6028" spans="2:2">
      <c r="B6028" s="3"/>
    </row>
    <row r="6029" spans="2:2">
      <c r="B6029" s="3"/>
    </row>
    <row r="6030" spans="2:2">
      <c r="B6030" s="3"/>
    </row>
    <row r="6031" spans="2:2">
      <c r="B6031" s="3"/>
    </row>
    <row r="6032" spans="2:2">
      <c r="B6032" s="3"/>
    </row>
    <row r="6033" spans="2:2">
      <c r="B6033" s="3"/>
    </row>
    <row r="6034" spans="2:2">
      <c r="B6034" s="3"/>
    </row>
    <row r="6035" spans="2:2">
      <c r="B6035" s="3"/>
    </row>
    <row r="6036" spans="2:2">
      <c r="B6036" s="3"/>
    </row>
    <row r="6037" spans="2:2">
      <c r="B6037" s="3"/>
    </row>
    <row r="6038" spans="2:2">
      <c r="B6038" s="3"/>
    </row>
    <row r="6039" spans="2:2">
      <c r="B6039" s="3"/>
    </row>
    <row r="6040" spans="2:2">
      <c r="B6040" s="3"/>
    </row>
    <row r="6041" spans="2:2">
      <c r="B6041" s="3"/>
    </row>
    <row r="6042" spans="2:2">
      <c r="B6042" s="3"/>
    </row>
    <row r="6043" spans="2:2">
      <c r="B6043" s="3"/>
    </row>
    <row r="6044" spans="2:2">
      <c r="B6044" s="3"/>
    </row>
    <row r="6045" spans="2:2">
      <c r="B6045" s="3"/>
    </row>
    <row r="6046" spans="2:2">
      <c r="B6046" s="3"/>
    </row>
    <row r="6047" spans="2:2">
      <c r="B6047" s="3"/>
    </row>
    <row r="6048" spans="2:2">
      <c r="B6048" s="3"/>
    </row>
    <row r="6049" spans="2:2">
      <c r="B6049" s="3"/>
    </row>
    <row r="6050" spans="2:2">
      <c r="B6050" s="3"/>
    </row>
    <row r="6051" spans="2:2">
      <c r="B6051" s="3"/>
    </row>
    <row r="6052" spans="2:2">
      <c r="B6052" s="3"/>
    </row>
    <row r="6053" spans="2:2">
      <c r="B6053" s="3"/>
    </row>
    <row r="6054" spans="2:2">
      <c r="B6054" s="3"/>
    </row>
    <row r="6055" spans="2:2">
      <c r="B6055" s="3"/>
    </row>
    <row r="6056" spans="2:2">
      <c r="B6056" s="3"/>
    </row>
    <row r="6057" spans="2:2">
      <c r="B6057" s="3"/>
    </row>
    <row r="6058" spans="2:2">
      <c r="B6058" s="3"/>
    </row>
    <row r="6059" spans="2:2">
      <c r="B6059" s="3"/>
    </row>
    <row r="6060" spans="2:2">
      <c r="B6060" s="3"/>
    </row>
    <row r="6061" spans="2:2">
      <c r="B6061" s="3"/>
    </row>
    <row r="6062" spans="2:2">
      <c r="B6062" s="3"/>
    </row>
    <row r="6063" spans="2:2">
      <c r="B6063" s="3"/>
    </row>
    <row r="6064" spans="2:2">
      <c r="B6064" s="3"/>
    </row>
    <row r="6065" spans="2:2">
      <c r="B6065" s="3"/>
    </row>
    <row r="6066" spans="2:2">
      <c r="B6066" s="3"/>
    </row>
    <row r="6067" spans="2:2">
      <c r="B6067" s="3"/>
    </row>
    <row r="6068" spans="2:2">
      <c r="B6068" s="3"/>
    </row>
    <row r="6069" spans="2:2">
      <c r="B6069" s="3"/>
    </row>
    <row r="6070" spans="2:2">
      <c r="B6070" s="3"/>
    </row>
    <row r="6071" spans="2:2">
      <c r="B6071" s="3"/>
    </row>
    <row r="6072" spans="2:2">
      <c r="B6072" s="3"/>
    </row>
    <row r="6073" spans="2:2">
      <c r="B6073" s="3"/>
    </row>
    <row r="6074" spans="2:2">
      <c r="B6074" s="3"/>
    </row>
    <row r="6075" spans="2:2">
      <c r="B6075" s="3"/>
    </row>
    <row r="6076" spans="2:2">
      <c r="B6076" s="3"/>
    </row>
    <row r="6077" spans="2:2">
      <c r="B6077" s="3"/>
    </row>
    <row r="6078" spans="2:2">
      <c r="B6078" s="3"/>
    </row>
    <row r="6079" spans="2:2">
      <c r="B6079" s="3"/>
    </row>
    <row r="6080" spans="2:2">
      <c r="B6080" s="3"/>
    </row>
    <row r="6081" spans="2:2">
      <c r="B6081" s="3"/>
    </row>
    <row r="6082" spans="2:2">
      <c r="B6082" s="3"/>
    </row>
    <row r="6083" spans="2:2">
      <c r="B6083" s="3"/>
    </row>
    <row r="6084" spans="2:2">
      <c r="B6084" s="3"/>
    </row>
    <row r="6085" spans="2:2">
      <c r="B6085" s="3"/>
    </row>
    <row r="6086" spans="2:2">
      <c r="B6086" s="3"/>
    </row>
    <row r="6087" spans="2:2">
      <c r="B6087" s="3"/>
    </row>
    <row r="6088" spans="2:2">
      <c r="B6088" s="3"/>
    </row>
    <row r="6089" spans="2:2">
      <c r="B6089" s="3"/>
    </row>
    <row r="6090" spans="2:2">
      <c r="B6090" s="3"/>
    </row>
    <row r="6091" spans="2:2">
      <c r="B6091" s="3"/>
    </row>
    <row r="6092" spans="2:2">
      <c r="B6092" s="3"/>
    </row>
    <row r="6093" spans="2:2">
      <c r="B6093" s="3"/>
    </row>
    <row r="6094" spans="2:2">
      <c r="B6094" s="3"/>
    </row>
    <row r="6095" spans="2:2">
      <c r="B6095" s="3"/>
    </row>
    <row r="6096" spans="2:2">
      <c r="B6096" s="3"/>
    </row>
    <row r="6097" spans="2:2">
      <c r="B6097" s="3"/>
    </row>
    <row r="6098" spans="2:2">
      <c r="B6098" s="3"/>
    </row>
    <row r="6099" spans="2:2">
      <c r="B6099" s="3"/>
    </row>
    <row r="6100" spans="2:2">
      <c r="B6100" s="3"/>
    </row>
    <row r="6101" spans="2:2">
      <c r="B6101" s="3"/>
    </row>
    <row r="6102" spans="2:2">
      <c r="B6102" s="3"/>
    </row>
    <row r="6103" spans="2:2">
      <c r="B6103" s="3"/>
    </row>
    <row r="6104" spans="2:2">
      <c r="B6104" s="3"/>
    </row>
    <row r="6105" spans="2:2">
      <c r="B6105" s="3"/>
    </row>
    <row r="6106" spans="2:2">
      <c r="B6106" s="3"/>
    </row>
    <row r="6107" spans="2:2">
      <c r="B6107" s="3"/>
    </row>
    <row r="6108" spans="2:2">
      <c r="B6108" s="3"/>
    </row>
    <row r="6109" spans="2:2">
      <c r="B6109" s="3"/>
    </row>
    <row r="6110" spans="2:2">
      <c r="B6110" s="3"/>
    </row>
    <row r="6111" spans="2:2">
      <c r="B6111" s="3"/>
    </row>
    <row r="6112" spans="2:2">
      <c r="B6112" s="3"/>
    </row>
    <row r="6113" spans="2:2">
      <c r="B6113" s="3"/>
    </row>
    <row r="6114" spans="2:2">
      <c r="B6114" s="3"/>
    </row>
    <row r="6115" spans="2:2">
      <c r="B6115" s="3"/>
    </row>
    <row r="6116" spans="2:2">
      <c r="B6116" s="3"/>
    </row>
    <row r="6117" spans="2:2">
      <c r="B6117" s="3"/>
    </row>
    <row r="6118" spans="2:2">
      <c r="B6118" s="3"/>
    </row>
    <row r="6119" spans="2:2">
      <c r="B6119" s="3"/>
    </row>
    <row r="6120" spans="2:2">
      <c r="B6120" s="3"/>
    </row>
    <row r="6121" spans="2:2">
      <c r="B6121" s="3"/>
    </row>
    <row r="6122" spans="2:2">
      <c r="B6122" s="3"/>
    </row>
    <row r="6123" spans="2:2">
      <c r="B6123" s="3"/>
    </row>
    <row r="6124" spans="2:2">
      <c r="B6124" s="3"/>
    </row>
    <row r="6125" spans="2:2">
      <c r="B6125" s="3"/>
    </row>
    <row r="6126" spans="2:2">
      <c r="B6126" s="3"/>
    </row>
    <row r="6127" spans="2:2">
      <c r="B6127" s="3"/>
    </row>
    <row r="6128" spans="2:2">
      <c r="B6128" s="3"/>
    </row>
    <row r="6129" spans="2:2">
      <c r="B6129" s="3"/>
    </row>
    <row r="6130" spans="2:2">
      <c r="B6130" s="3"/>
    </row>
    <row r="6131" spans="2:2">
      <c r="B6131" s="3"/>
    </row>
    <row r="6132" spans="2:2">
      <c r="B6132" s="3"/>
    </row>
    <row r="6133" spans="2:2">
      <c r="B6133" s="3"/>
    </row>
    <row r="6134" spans="2:2">
      <c r="B6134" s="3"/>
    </row>
    <row r="6135" spans="2:2">
      <c r="B6135" s="3"/>
    </row>
    <row r="6136" spans="2:2">
      <c r="B6136" s="3"/>
    </row>
    <row r="6137" spans="2:2">
      <c r="B6137" s="3"/>
    </row>
    <row r="6138" spans="2:2">
      <c r="B6138" s="3"/>
    </row>
    <row r="6139" spans="2:2">
      <c r="B6139" s="3"/>
    </row>
    <row r="6140" spans="2:2">
      <c r="B6140" s="3"/>
    </row>
    <row r="6141" spans="2:2">
      <c r="B6141" s="3"/>
    </row>
    <row r="6142" spans="2:2">
      <c r="B6142" s="3"/>
    </row>
    <row r="6143" spans="2:2">
      <c r="B6143" s="3"/>
    </row>
    <row r="6144" spans="2:2">
      <c r="B6144" s="3"/>
    </row>
    <row r="6145" spans="2:2">
      <c r="B6145" s="3"/>
    </row>
    <row r="6146" spans="2:2">
      <c r="B6146" s="3"/>
    </row>
    <row r="6147" spans="2:2">
      <c r="B6147" s="3"/>
    </row>
    <row r="6148" spans="2:2">
      <c r="B6148" s="3"/>
    </row>
    <row r="6149" spans="2:2">
      <c r="B6149" s="3"/>
    </row>
    <row r="6150" spans="2:2">
      <c r="B6150" s="3"/>
    </row>
    <row r="6151" spans="2:2">
      <c r="B6151" s="3"/>
    </row>
    <row r="6152" spans="2:2">
      <c r="B6152" s="3"/>
    </row>
    <row r="6153" spans="2:2">
      <c r="B6153" s="3"/>
    </row>
    <row r="6154" spans="2:2">
      <c r="B6154" s="3"/>
    </row>
    <row r="6155" spans="2:2">
      <c r="B6155" s="3"/>
    </row>
    <row r="6156" spans="2:2">
      <c r="B6156" s="3"/>
    </row>
    <row r="6157" spans="2:2">
      <c r="B6157" s="3"/>
    </row>
    <row r="6158" spans="2:2">
      <c r="B6158" s="3"/>
    </row>
    <row r="6159" spans="2:2">
      <c r="B6159" s="3"/>
    </row>
    <row r="6160" spans="2:2">
      <c r="B6160" s="3"/>
    </row>
    <row r="6161" spans="2:2">
      <c r="B6161" s="3"/>
    </row>
    <row r="6162" spans="2:2">
      <c r="B6162" s="3"/>
    </row>
    <row r="6163" spans="2:2">
      <c r="B6163" s="3"/>
    </row>
    <row r="6164" spans="2:2">
      <c r="B6164" s="3"/>
    </row>
    <row r="6165" spans="2:2">
      <c r="B6165" s="3"/>
    </row>
    <row r="6166" spans="2:2">
      <c r="B6166" s="3"/>
    </row>
    <row r="6167" spans="2:2">
      <c r="B6167" s="3"/>
    </row>
    <row r="6168" spans="2:2">
      <c r="B6168" s="3"/>
    </row>
    <row r="6169" spans="2:2">
      <c r="B6169" s="3"/>
    </row>
    <row r="6170" spans="2:2">
      <c r="B6170" s="3"/>
    </row>
    <row r="6171" spans="2:2">
      <c r="B6171" s="3"/>
    </row>
    <row r="6172" spans="2:2">
      <c r="B6172" s="3"/>
    </row>
    <row r="6173" spans="2:2">
      <c r="B6173" s="3"/>
    </row>
    <row r="6174" spans="2:2">
      <c r="B6174" s="3"/>
    </row>
    <row r="6175" spans="2:2">
      <c r="B6175" s="3"/>
    </row>
    <row r="6176" spans="2:2">
      <c r="B6176" s="3"/>
    </row>
    <row r="6177" spans="2:2">
      <c r="B6177" s="3"/>
    </row>
    <row r="6178" spans="2:2">
      <c r="B6178" s="3"/>
    </row>
    <row r="6179" spans="2:2">
      <c r="B6179" s="3"/>
    </row>
    <row r="6180" spans="2:2">
      <c r="B6180" s="3"/>
    </row>
    <row r="6181" spans="2:2">
      <c r="B6181" s="3"/>
    </row>
    <row r="6182" spans="2:2">
      <c r="B6182" s="3"/>
    </row>
    <row r="6183" spans="2:2">
      <c r="B6183" s="3"/>
    </row>
    <row r="6184" spans="2:2">
      <c r="B6184" s="3"/>
    </row>
    <row r="6185" spans="2:2">
      <c r="B6185" s="3"/>
    </row>
    <row r="6186" spans="2:2">
      <c r="B6186" s="3"/>
    </row>
    <row r="6187" spans="2:2">
      <c r="B6187" s="3"/>
    </row>
    <row r="6188" spans="2:2">
      <c r="B6188" s="3"/>
    </row>
    <row r="6189" spans="2:2">
      <c r="B6189" s="3"/>
    </row>
    <row r="6190" spans="2:2">
      <c r="B6190" s="3"/>
    </row>
    <row r="6191" spans="2:2">
      <c r="B6191" s="3"/>
    </row>
    <row r="6192" spans="2:2">
      <c r="B6192" s="3"/>
    </row>
    <row r="6193" spans="2:2">
      <c r="B6193" s="3"/>
    </row>
    <row r="6194" spans="2:2">
      <c r="B6194" s="3"/>
    </row>
    <row r="6195" spans="2:2">
      <c r="B6195" s="3"/>
    </row>
    <row r="6196" spans="2:2">
      <c r="B6196" s="3"/>
    </row>
    <row r="6197" spans="2:2">
      <c r="B6197" s="3"/>
    </row>
    <row r="6198" spans="2:2">
      <c r="B6198" s="3"/>
    </row>
    <row r="6199" spans="2:2">
      <c r="B6199" s="3"/>
    </row>
    <row r="6200" spans="2:2">
      <c r="B6200" s="3"/>
    </row>
    <row r="6201" spans="2:2">
      <c r="B6201" s="3"/>
    </row>
    <row r="6202" spans="2:2">
      <c r="B6202" s="3"/>
    </row>
    <row r="6203" spans="2:2">
      <c r="B6203" s="3"/>
    </row>
    <row r="6204" spans="2:2">
      <c r="B6204" s="3"/>
    </row>
    <row r="6205" spans="2:2">
      <c r="B6205" s="3"/>
    </row>
    <row r="6206" spans="2:2">
      <c r="B6206" s="3"/>
    </row>
    <row r="6207" spans="2:2">
      <c r="B6207" s="3"/>
    </row>
    <row r="6208" spans="2:2">
      <c r="B6208" s="3"/>
    </row>
    <row r="6209" spans="2:2">
      <c r="B6209" s="3"/>
    </row>
    <row r="6210" spans="2:2">
      <c r="B6210" s="3"/>
    </row>
    <row r="6211" spans="2:2">
      <c r="B6211" s="3"/>
    </row>
    <row r="6212" spans="2:2">
      <c r="B6212" s="3"/>
    </row>
    <row r="6213" spans="2:2">
      <c r="B6213" s="3"/>
    </row>
    <row r="6214" spans="2:2">
      <c r="B6214" s="3"/>
    </row>
    <row r="6215" spans="2:2">
      <c r="B6215" s="3"/>
    </row>
    <row r="6216" spans="2:2">
      <c r="B6216" s="3"/>
    </row>
    <row r="6217" spans="2:2">
      <c r="B6217" s="3"/>
    </row>
    <row r="6218" spans="2:2">
      <c r="B6218" s="3"/>
    </row>
    <row r="6219" spans="2:2">
      <c r="B6219" s="3"/>
    </row>
    <row r="6220" spans="2:2">
      <c r="B6220" s="3"/>
    </row>
    <row r="6221" spans="2:2">
      <c r="B6221" s="3"/>
    </row>
    <row r="6222" spans="2:2">
      <c r="B6222" s="3"/>
    </row>
    <row r="6223" spans="2:2">
      <c r="B6223" s="3"/>
    </row>
    <row r="6224" spans="2:2">
      <c r="B6224" s="3"/>
    </row>
    <row r="6225" spans="2:2">
      <c r="B6225" s="3"/>
    </row>
    <row r="6226" spans="2:2">
      <c r="B6226" s="3"/>
    </row>
    <row r="6227" spans="2:2">
      <c r="B6227" s="3"/>
    </row>
    <row r="6228" spans="2:2">
      <c r="B6228" s="3"/>
    </row>
    <row r="6229" spans="2:2">
      <c r="B6229" s="3"/>
    </row>
    <row r="6230" spans="2:2">
      <c r="B6230" s="3"/>
    </row>
    <row r="6231" spans="2:2">
      <c r="B6231" s="3"/>
    </row>
    <row r="6232" spans="2:2">
      <c r="B6232" s="3"/>
    </row>
    <row r="6233" spans="2:2">
      <c r="B6233" s="3"/>
    </row>
    <row r="6234" spans="2:2">
      <c r="B6234" s="3"/>
    </row>
    <row r="6235" spans="2:2">
      <c r="B6235" s="3"/>
    </row>
    <row r="6236" spans="2:2">
      <c r="B6236" s="3"/>
    </row>
    <row r="6237" spans="2:2">
      <c r="B6237" s="3"/>
    </row>
    <row r="6238" spans="2:2">
      <c r="B6238" s="3"/>
    </row>
    <row r="6239" spans="2:2">
      <c r="B6239" s="3"/>
    </row>
    <row r="6240" spans="2:2">
      <c r="B6240" s="3"/>
    </row>
    <row r="6241" spans="2:2">
      <c r="B6241" s="3"/>
    </row>
    <row r="6242" spans="2:2">
      <c r="B6242" s="3"/>
    </row>
    <row r="6243" spans="2:2">
      <c r="B6243" s="3"/>
    </row>
    <row r="6244" spans="2:2">
      <c r="B6244" s="3"/>
    </row>
    <row r="6245" spans="2:2">
      <c r="B6245" s="3"/>
    </row>
    <row r="6246" spans="2:2">
      <c r="B6246" s="3"/>
    </row>
    <row r="6247" spans="2:2">
      <c r="B6247" s="3"/>
    </row>
    <row r="6248" spans="2:2">
      <c r="B6248" s="3"/>
    </row>
    <row r="6249" spans="2:2">
      <c r="B6249" s="3"/>
    </row>
    <row r="6250" spans="2:2">
      <c r="B6250" s="3"/>
    </row>
    <row r="6251" spans="2:2">
      <c r="B6251" s="3"/>
    </row>
    <row r="6252" spans="2:2">
      <c r="B6252" s="3"/>
    </row>
    <row r="6253" spans="2:2">
      <c r="B6253" s="3"/>
    </row>
    <row r="6254" spans="2:2">
      <c r="B6254" s="3"/>
    </row>
    <row r="6255" spans="2:2">
      <c r="B6255" s="3"/>
    </row>
    <row r="6256" spans="2:2">
      <c r="B6256" s="3"/>
    </row>
    <row r="6257" spans="2:2">
      <c r="B6257" s="3"/>
    </row>
    <row r="6258" spans="2:2">
      <c r="B6258" s="3"/>
    </row>
    <row r="6259" spans="2:2">
      <c r="B6259" s="3"/>
    </row>
    <row r="6260" spans="2:2">
      <c r="B6260" s="3"/>
    </row>
    <row r="6261" spans="2:2">
      <c r="B6261" s="3"/>
    </row>
    <row r="6262" spans="2:2">
      <c r="B6262" s="3"/>
    </row>
    <row r="6263" spans="2:2">
      <c r="B6263" s="3"/>
    </row>
    <row r="6264" spans="2:2">
      <c r="B6264" s="3"/>
    </row>
    <row r="6265" spans="2:2">
      <c r="B6265" s="3"/>
    </row>
    <row r="6266" spans="2:2">
      <c r="B6266" s="3"/>
    </row>
    <row r="6267" spans="2:2">
      <c r="B6267" s="3"/>
    </row>
    <row r="6268" spans="2:2">
      <c r="B6268" s="3"/>
    </row>
    <row r="6269" spans="2:2">
      <c r="B6269" s="3"/>
    </row>
    <row r="6270" spans="2:2">
      <c r="B6270" s="3"/>
    </row>
    <row r="6271" spans="2:2">
      <c r="B6271" s="3"/>
    </row>
    <row r="6272" spans="2:2">
      <c r="B6272" s="3"/>
    </row>
    <row r="6273" spans="2:2">
      <c r="B6273" s="3"/>
    </row>
    <row r="6274" spans="2:2">
      <c r="B6274" s="3"/>
    </row>
    <row r="6275" spans="2:2">
      <c r="B6275" s="3"/>
    </row>
    <row r="6276" spans="2:2">
      <c r="B6276" s="3"/>
    </row>
    <row r="6277" spans="2:2">
      <c r="B6277" s="3"/>
    </row>
    <row r="6278" spans="2:2">
      <c r="B6278" s="3"/>
    </row>
    <row r="6279" spans="2:2">
      <c r="B6279" s="3"/>
    </row>
    <row r="6280" spans="2:2">
      <c r="B6280" s="3"/>
    </row>
    <row r="6281" spans="2:2">
      <c r="B6281" s="3"/>
    </row>
    <row r="6282" spans="2:2">
      <c r="B6282" s="3"/>
    </row>
    <row r="6283" spans="2:2">
      <c r="B6283" s="3"/>
    </row>
    <row r="6284" spans="2:2">
      <c r="B6284" s="3"/>
    </row>
    <row r="6285" spans="2:2">
      <c r="B6285" s="3"/>
    </row>
    <row r="6286" spans="2:2">
      <c r="B6286" s="3"/>
    </row>
    <row r="6287" spans="2:2">
      <c r="B6287" s="3"/>
    </row>
    <row r="6288" spans="2:2">
      <c r="B6288" s="3"/>
    </row>
    <row r="6289" spans="2:2">
      <c r="B6289" s="3"/>
    </row>
    <row r="6290" spans="2:2">
      <c r="B6290" s="3"/>
    </row>
    <row r="6291" spans="2:2">
      <c r="B6291" s="3"/>
    </row>
    <row r="6292" spans="2:2">
      <c r="B6292" s="3"/>
    </row>
    <row r="6293" spans="2:2">
      <c r="B6293" s="3"/>
    </row>
    <row r="6294" spans="2:2">
      <c r="B6294" s="3"/>
    </row>
    <row r="6295" spans="2:2">
      <c r="B6295" s="3"/>
    </row>
    <row r="6296" spans="2:2">
      <c r="B6296" s="3"/>
    </row>
    <row r="6297" spans="2:2">
      <c r="B6297" s="3"/>
    </row>
    <row r="6298" spans="2:2">
      <c r="B6298" s="3"/>
    </row>
    <row r="6299" spans="2:2">
      <c r="B6299" s="3"/>
    </row>
    <row r="6300" spans="2:2">
      <c r="B6300" s="3"/>
    </row>
    <row r="6301" spans="2:2">
      <c r="B6301" s="3"/>
    </row>
    <row r="6302" spans="2:2">
      <c r="B6302" s="3"/>
    </row>
    <row r="6303" spans="2:2">
      <c r="B6303" s="3"/>
    </row>
    <row r="6304" spans="2:2">
      <c r="B6304" s="3"/>
    </row>
    <row r="6305" spans="2:2">
      <c r="B6305" s="3"/>
    </row>
    <row r="6306" spans="2:2">
      <c r="B6306" s="3"/>
    </row>
    <row r="6307" spans="2:2">
      <c r="B6307" s="3"/>
    </row>
    <row r="6308" spans="2:2">
      <c r="B6308" s="3"/>
    </row>
    <row r="6309" spans="2:2">
      <c r="B6309" s="3"/>
    </row>
    <row r="6310" spans="2:2">
      <c r="B6310" s="3"/>
    </row>
    <row r="6311" spans="2:2">
      <c r="B6311" s="3"/>
    </row>
    <row r="6312" spans="2:2">
      <c r="B6312" s="3"/>
    </row>
    <row r="6313" spans="2:2">
      <c r="B6313" s="3"/>
    </row>
    <row r="6314" spans="2:2">
      <c r="B6314" s="3"/>
    </row>
    <row r="6315" spans="2:2">
      <c r="B6315" s="3"/>
    </row>
    <row r="6316" spans="2:2">
      <c r="B6316" s="3"/>
    </row>
    <row r="6317" spans="2:2">
      <c r="B6317" s="3"/>
    </row>
    <row r="6318" spans="2:2">
      <c r="B6318" s="3"/>
    </row>
    <row r="6319" spans="2:2">
      <c r="B6319" s="3"/>
    </row>
    <row r="6320" spans="2:2">
      <c r="B6320" s="3"/>
    </row>
    <row r="6321" spans="2:2">
      <c r="B6321" s="3"/>
    </row>
    <row r="6322" spans="2:2">
      <c r="B6322" s="3"/>
    </row>
    <row r="6323" spans="2:2">
      <c r="B6323" s="3"/>
    </row>
    <row r="6324" spans="2:2">
      <c r="B6324" s="3"/>
    </row>
    <row r="6325" spans="2:2">
      <c r="B6325" s="3"/>
    </row>
    <row r="6326" spans="2:2">
      <c r="B6326" s="3"/>
    </row>
    <row r="6327" spans="2:2">
      <c r="B6327" s="3"/>
    </row>
    <row r="6328" spans="2:2">
      <c r="B6328" s="3"/>
    </row>
    <row r="6329" spans="2:2">
      <c r="B6329" s="3"/>
    </row>
    <row r="6330" spans="2:2">
      <c r="B6330" s="3"/>
    </row>
    <row r="6331" spans="2:2">
      <c r="B6331" s="3"/>
    </row>
    <row r="6332" spans="2:2">
      <c r="B6332" s="3"/>
    </row>
    <row r="6333" spans="2:2">
      <c r="B6333" s="3"/>
    </row>
    <row r="6334" spans="2:2">
      <c r="B6334" s="3"/>
    </row>
    <row r="6335" spans="2:2">
      <c r="B6335" s="3"/>
    </row>
    <row r="6336" spans="2:2">
      <c r="B6336" s="3"/>
    </row>
    <row r="6337" spans="2:2">
      <c r="B6337" s="3"/>
    </row>
    <row r="6338" spans="2:2">
      <c r="B6338" s="3"/>
    </row>
    <row r="6339" spans="2:2">
      <c r="B6339" s="3"/>
    </row>
    <row r="6340" spans="2:2">
      <c r="B6340" s="3"/>
    </row>
    <row r="6341" spans="2:2">
      <c r="B6341" s="3"/>
    </row>
    <row r="6342" spans="2:2">
      <c r="B6342" s="3"/>
    </row>
    <row r="6343" spans="2:2">
      <c r="B6343" s="3"/>
    </row>
    <row r="6344" spans="2:2">
      <c r="B6344" s="3"/>
    </row>
    <row r="6345" spans="2:2">
      <c r="B6345" s="3"/>
    </row>
    <row r="6346" spans="2:2">
      <c r="B6346" s="3"/>
    </row>
    <row r="6347" spans="2:2">
      <c r="B6347" s="3"/>
    </row>
    <row r="6348" spans="2:2">
      <c r="B6348" s="3"/>
    </row>
    <row r="6349" spans="2:2">
      <c r="B6349" s="3"/>
    </row>
    <row r="6350" spans="2:2">
      <c r="B6350" s="3"/>
    </row>
    <row r="6351" spans="2:2">
      <c r="B6351" s="3"/>
    </row>
    <row r="6352" spans="2:2">
      <c r="B6352" s="3"/>
    </row>
    <row r="6353" spans="2:2">
      <c r="B6353" s="3"/>
    </row>
    <row r="6354" spans="2:2">
      <c r="B6354" s="3"/>
    </row>
    <row r="6355" spans="2:2">
      <c r="B6355" s="3"/>
    </row>
    <row r="6356" spans="2:2">
      <c r="B6356" s="3"/>
    </row>
    <row r="6357" spans="2:2">
      <c r="B6357" s="3"/>
    </row>
    <row r="6358" spans="2:2">
      <c r="B6358" s="3"/>
    </row>
    <row r="6359" spans="2:2">
      <c r="B6359" s="3"/>
    </row>
    <row r="6360" spans="2:2">
      <c r="B6360" s="3"/>
    </row>
    <row r="6361" spans="2:2">
      <c r="B6361" s="3"/>
    </row>
    <row r="6362" spans="2:2">
      <c r="B6362" s="3"/>
    </row>
    <row r="6363" spans="2:2">
      <c r="B6363" s="3"/>
    </row>
    <row r="6364" spans="2:2">
      <c r="B6364" s="3"/>
    </row>
    <row r="6365" spans="2:2">
      <c r="B6365" s="3"/>
    </row>
    <row r="6366" spans="2:2">
      <c r="B6366" s="3"/>
    </row>
    <row r="6367" spans="2:2">
      <c r="B6367" s="3"/>
    </row>
    <row r="6368" spans="2:2">
      <c r="B6368" s="3"/>
    </row>
    <row r="6369" spans="2:2">
      <c r="B6369" s="3"/>
    </row>
    <row r="6370" spans="2:2">
      <c r="B6370" s="3"/>
    </row>
    <row r="6371" spans="2:2">
      <c r="B6371" s="3"/>
    </row>
    <row r="6372" spans="2:2">
      <c r="B6372" s="3"/>
    </row>
    <row r="6373" spans="2:2">
      <c r="B6373" s="3"/>
    </row>
    <row r="6374" spans="2:2">
      <c r="B6374" s="3"/>
    </row>
    <row r="6375" spans="2:2">
      <c r="B6375" s="3"/>
    </row>
    <row r="6376" spans="2:2">
      <c r="B6376" s="3"/>
    </row>
    <row r="6377" spans="2:2">
      <c r="B6377" s="3"/>
    </row>
    <row r="6378" spans="2:2">
      <c r="B6378" s="3"/>
    </row>
    <row r="6379" spans="2:2">
      <c r="B6379" s="3"/>
    </row>
    <row r="6380" spans="2:2">
      <c r="B6380" s="3"/>
    </row>
    <row r="6381" spans="2:2">
      <c r="B6381" s="3"/>
    </row>
    <row r="6382" spans="2:2">
      <c r="B6382" s="3"/>
    </row>
    <row r="6383" spans="2:2">
      <c r="B6383" s="3"/>
    </row>
    <row r="6384" spans="2:2">
      <c r="B6384" s="3"/>
    </row>
    <row r="6385" spans="2:2">
      <c r="B6385" s="3"/>
    </row>
    <row r="6386" spans="2:2">
      <c r="B6386" s="3"/>
    </row>
    <row r="6387" spans="2:2">
      <c r="B6387" s="3"/>
    </row>
    <row r="6388" spans="2:2">
      <c r="B6388" s="3"/>
    </row>
    <row r="6389" spans="2:2">
      <c r="B6389" s="3"/>
    </row>
    <row r="6390" spans="2:2">
      <c r="B6390" s="3"/>
    </row>
    <row r="6391" spans="2:2">
      <c r="B6391" s="3"/>
    </row>
    <row r="6392" spans="2:2">
      <c r="B6392" s="3"/>
    </row>
    <row r="6393" spans="2:2">
      <c r="B6393" s="3"/>
    </row>
    <row r="6394" spans="2:2">
      <c r="B6394" s="3"/>
    </row>
    <row r="6395" spans="2:2">
      <c r="B6395" s="3"/>
    </row>
    <row r="6396" spans="2:2">
      <c r="B6396" s="3"/>
    </row>
    <row r="6397" spans="2:2">
      <c r="B6397" s="3"/>
    </row>
    <row r="6398" spans="2:2">
      <c r="B6398" s="3"/>
    </row>
    <row r="6399" spans="2:2">
      <c r="B6399" s="3"/>
    </row>
    <row r="6400" spans="2:2">
      <c r="B6400" s="3"/>
    </row>
    <row r="6401" spans="2:2">
      <c r="B6401" s="3"/>
    </row>
    <row r="6402" spans="2:2">
      <c r="B6402" s="3"/>
    </row>
    <row r="6403" spans="2:2">
      <c r="B6403" s="3"/>
    </row>
    <row r="6404" spans="2:2">
      <c r="B6404" s="3"/>
    </row>
    <row r="6405" spans="2:2">
      <c r="B6405" s="3"/>
    </row>
    <row r="6406" spans="2:2">
      <c r="B6406" s="3"/>
    </row>
    <row r="6407" spans="2:2">
      <c r="B6407" s="3"/>
    </row>
    <row r="6408" spans="2:2">
      <c r="B6408" s="3"/>
    </row>
    <row r="6409" spans="2:2">
      <c r="B6409" s="3"/>
    </row>
    <row r="6410" spans="2:2">
      <c r="B6410" s="3"/>
    </row>
    <row r="6411" spans="2:2">
      <c r="B6411" s="3"/>
    </row>
    <row r="6412" spans="2:2">
      <c r="B6412" s="3"/>
    </row>
    <row r="6413" spans="2:2">
      <c r="B6413" s="3"/>
    </row>
    <row r="6414" spans="2:2">
      <c r="B6414" s="3"/>
    </row>
    <row r="6415" spans="2:2">
      <c r="B6415" s="3"/>
    </row>
    <row r="6416" spans="2:2">
      <c r="B6416" s="3"/>
    </row>
    <row r="6417" spans="2:2">
      <c r="B6417" s="3"/>
    </row>
    <row r="6418" spans="2:2">
      <c r="B6418" s="3"/>
    </row>
    <row r="6419" spans="2:2">
      <c r="B6419" s="3"/>
    </row>
    <row r="6420" spans="2:2">
      <c r="B6420" s="3"/>
    </row>
    <row r="6421" spans="2:2">
      <c r="B6421" s="3"/>
    </row>
    <row r="6422" spans="2:2">
      <c r="B6422" s="3"/>
    </row>
    <row r="6423" spans="2:2">
      <c r="B6423" s="3"/>
    </row>
    <row r="6424" spans="2:2">
      <c r="B6424" s="3"/>
    </row>
    <row r="6425" spans="2:2">
      <c r="B6425" s="3"/>
    </row>
    <row r="6426" spans="2:2">
      <c r="B6426" s="3"/>
    </row>
    <row r="6427" spans="2:2">
      <c r="B6427" s="3"/>
    </row>
    <row r="6428" spans="2:2">
      <c r="B6428" s="3"/>
    </row>
    <row r="6429" spans="2:2">
      <c r="B6429" s="3"/>
    </row>
    <row r="6430" spans="2:2">
      <c r="B6430" s="3"/>
    </row>
    <row r="6431" spans="2:2">
      <c r="B6431" s="3"/>
    </row>
    <row r="6432" spans="2:2">
      <c r="B6432" s="3"/>
    </row>
    <row r="6433" spans="2:2">
      <c r="B6433" s="3"/>
    </row>
    <row r="6434" spans="2:2">
      <c r="B6434" s="3"/>
    </row>
    <row r="6435" spans="2:2">
      <c r="B6435" s="3"/>
    </row>
    <row r="6436" spans="2:2">
      <c r="B6436" s="3"/>
    </row>
    <row r="6437" spans="2:2">
      <c r="B6437" s="3"/>
    </row>
    <row r="6438" spans="2:2">
      <c r="B6438" s="3"/>
    </row>
    <row r="6439" spans="2:2">
      <c r="B6439" s="3"/>
    </row>
    <row r="6440" spans="2:2">
      <c r="B6440" s="3"/>
    </row>
    <row r="6441" spans="2:2">
      <c r="B6441" s="3"/>
    </row>
    <row r="6442" spans="2:2">
      <c r="B6442" s="3"/>
    </row>
    <row r="6443" spans="2:2">
      <c r="B6443" s="3"/>
    </row>
    <row r="6444" spans="2:2">
      <c r="B6444" s="3"/>
    </row>
    <row r="6445" spans="2:2">
      <c r="B6445" s="3"/>
    </row>
    <row r="6446" spans="2:2">
      <c r="B6446" s="3"/>
    </row>
    <row r="6447" spans="2:2">
      <c r="B6447" s="3"/>
    </row>
    <row r="6448" spans="2:2">
      <c r="B6448" s="3"/>
    </row>
    <row r="6449" spans="2:2">
      <c r="B6449" s="3"/>
    </row>
    <row r="6450" spans="2:2">
      <c r="B6450" s="3"/>
    </row>
    <row r="6451" spans="2:2">
      <c r="B6451" s="3"/>
    </row>
    <row r="6452" spans="2:2">
      <c r="B6452" s="3"/>
    </row>
    <row r="6453" spans="2:2">
      <c r="B6453" s="3"/>
    </row>
    <row r="6454" spans="2:2">
      <c r="B6454" s="3"/>
    </row>
    <row r="6455" spans="2:2">
      <c r="B6455" s="3"/>
    </row>
    <row r="6456" spans="2:2">
      <c r="B6456" s="3"/>
    </row>
    <row r="6457" spans="2:2">
      <c r="B6457" s="3"/>
    </row>
    <row r="6458" spans="2:2">
      <c r="B6458" s="3"/>
    </row>
    <row r="6459" spans="2:2">
      <c r="B6459" s="3"/>
    </row>
    <row r="6460" spans="2:2">
      <c r="B6460" s="3"/>
    </row>
    <row r="6461" spans="2:2">
      <c r="B6461" s="3"/>
    </row>
    <row r="6462" spans="2:2">
      <c r="B6462" s="3"/>
    </row>
    <row r="6463" spans="2:2">
      <c r="B6463" s="3"/>
    </row>
    <row r="6464" spans="2:2">
      <c r="B6464" s="3"/>
    </row>
    <row r="6465" spans="2:2">
      <c r="B6465" s="3"/>
    </row>
    <row r="6466" spans="2:2">
      <c r="B6466" s="3"/>
    </row>
    <row r="6467" spans="2:2">
      <c r="B6467" s="3"/>
    </row>
    <row r="6468" spans="2:2">
      <c r="B6468" s="3"/>
    </row>
    <row r="6469" spans="2:2">
      <c r="B6469" s="3"/>
    </row>
    <row r="6470" spans="2:2">
      <c r="B6470" s="3"/>
    </row>
    <row r="6471" spans="2:2">
      <c r="B6471" s="3"/>
    </row>
    <row r="6472" spans="2:2">
      <c r="B6472" s="3"/>
    </row>
    <row r="6473" spans="2:2">
      <c r="B6473" s="3"/>
    </row>
    <row r="6474" spans="2:2">
      <c r="B6474" s="3"/>
    </row>
    <row r="6475" spans="2:2">
      <c r="B6475" s="3"/>
    </row>
    <row r="6476" spans="2:2">
      <c r="B6476" s="3"/>
    </row>
    <row r="6477" spans="2:2">
      <c r="B6477" s="3"/>
    </row>
    <row r="6478" spans="2:2">
      <c r="B6478" s="3"/>
    </row>
    <row r="6479" spans="2:2">
      <c r="B6479" s="3"/>
    </row>
    <row r="6480" spans="2:2">
      <c r="B6480" s="3"/>
    </row>
    <row r="6481" spans="2:2">
      <c r="B6481" s="3"/>
    </row>
    <row r="6482" spans="2:2">
      <c r="B6482" s="3"/>
    </row>
    <row r="6483" spans="2:2">
      <c r="B6483" s="3"/>
    </row>
    <row r="6484" spans="2:2">
      <c r="B6484" s="3"/>
    </row>
    <row r="6485" spans="2:2">
      <c r="B6485" s="3"/>
    </row>
    <row r="6486" spans="2:2">
      <c r="B6486" s="3"/>
    </row>
    <row r="6487" spans="2:2">
      <c r="B6487" s="3"/>
    </row>
    <row r="6488" spans="2:2">
      <c r="B6488" s="3"/>
    </row>
    <row r="6489" spans="2:2">
      <c r="B6489" s="3"/>
    </row>
    <row r="6490" spans="2:2">
      <c r="B6490" s="3"/>
    </row>
    <row r="6491" spans="2:2">
      <c r="B6491" s="3"/>
    </row>
    <row r="6492" spans="2:2">
      <c r="B6492" s="3"/>
    </row>
    <row r="6493" spans="2:2">
      <c r="B6493" s="3"/>
    </row>
    <row r="6494" spans="2:2">
      <c r="B6494" s="3"/>
    </row>
    <row r="6495" spans="2:2">
      <c r="B6495" s="3"/>
    </row>
    <row r="6496" spans="2:2">
      <c r="B6496" s="3"/>
    </row>
    <row r="6497" spans="2:2">
      <c r="B6497" s="3"/>
    </row>
    <row r="6498" spans="2:2">
      <c r="B6498" s="3"/>
    </row>
    <row r="6499" spans="2:2">
      <c r="B6499" s="3"/>
    </row>
    <row r="6500" spans="2:2">
      <c r="B6500" s="3"/>
    </row>
    <row r="6501" spans="2:2">
      <c r="B6501" s="3"/>
    </row>
    <row r="6502" spans="2:2">
      <c r="B6502" s="3"/>
    </row>
    <row r="6503" spans="2:2">
      <c r="B6503" s="3"/>
    </row>
    <row r="6504" spans="2:2">
      <c r="B6504" s="3"/>
    </row>
    <row r="6505" spans="2:2">
      <c r="B6505" s="3"/>
    </row>
    <row r="6506" spans="2:2">
      <c r="B6506" s="3"/>
    </row>
    <row r="6507" spans="2:2">
      <c r="B6507" s="3"/>
    </row>
    <row r="6508" spans="2:2">
      <c r="B6508" s="3"/>
    </row>
    <row r="6509" spans="2:2">
      <c r="B6509" s="3"/>
    </row>
    <row r="6510" spans="2:2">
      <c r="B6510" s="3"/>
    </row>
    <row r="6511" spans="2:2">
      <c r="B6511" s="3"/>
    </row>
    <row r="6512" spans="2:2">
      <c r="B6512" s="3"/>
    </row>
    <row r="6513" spans="2:2">
      <c r="B6513" s="3"/>
    </row>
    <row r="6514" spans="2:2">
      <c r="B6514" s="3"/>
    </row>
    <row r="6515" spans="2:2">
      <c r="B6515" s="3"/>
    </row>
    <row r="6516" spans="2:2">
      <c r="B6516" s="3"/>
    </row>
    <row r="6517" spans="2:2">
      <c r="B6517" s="3"/>
    </row>
    <row r="6518" spans="2:2">
      <c r="B6518" s="3"/>
    </row>
    <row r="6519" spans="2:2">
      <c r="B6519" s="3"/>
    </row>
    <row r="6520" spans="2:2">
      <c r="B6520" s="3"/>
    </row>
    <row r="6521" spans="2:2">
      <c r="B6521" s="3"/>
    </row>
    <row r="6522" spans="2:2">
      <c r="B6522" s="3"/>
    </row>
    <row r="6523" spans="2:2">
      <c r="B6523" s="3"/>
    </row>
    <row r="6524" spans="2:2">
      <c r="B6524" s="3"/>
    </row>
    <row r="6525" spans="2:2">
      <c r="B6525" s="3"/>
    </row>
    <row r="6526" spans="2:2">
      <c r="B6526" s="3"/>
    </row>
    <row r="6527" spans="2:2">
      <c r="B6527" s="3"/>
    </row>
    <row r="6528" spans="2:2">
      <c r="B6528" s="3"/>
    </row>
    <row r="6529" spans="2:2">
      <c r="B6529" s="3"/>
    </row>
    <row r="6530" spans="2:2">
      <c r="B6530" s="3"/>
    </row>
    <row r="6531" spans="2:2">
      <c r="B6531" s="3"/>
    </row>
    <row r="6532" spans="2:2">
      <c r="B6532" s="3"/>
    </row>
    <row r="6533" spans="2:2">
      <c r="B6533" s="3"/>
    </row>
    <row r="6534" spans="2:2">
      <c r="B6534" s="3"/>
    </row>
    <row r="6535" spans="2:2">
      <c r="B6535" s="3"/>
    </row>
    <row r="6536" spans="2:2">
      <c r="B6536" s="3"/>
    </row>
    <row r="6537" spans="2:2">
      <c r="B6537" s="3"/>
    </row>
    <row r="6538" spans="2:2">
      <c r="B6538" s="3"/>
    </row>
    <row r="6539" spans="2:2">
      <c r="B6539" s="3"/>
    </row>
    <row r="6540" spans="2:2">
      <c r="B6540" s="3"/>
    </row>
    <row r="6541" spans="2:2">
      <c r="B6541" s="3"/>
    </row>
    <row r="6542" spans="2:2">
      <c r="B6542" s="3"/>
    </row>
    <row r="6543" spans="2:2">
      <c r="B6543" s="3"/>
    </row>
    <row r="6544" spans="2:2">
      <c r="B6544" s="3"/>
    </row>
    <row r="6545" spans="2:2">
      <c r="B6545" s="3"/>
    </row>
    <row r="6546" spans="2:2">
      <c r="B6546" s="3"/>
    </row>
    <row r="6547" spans="2:2">
      <c r="B6547" s="3"/>
    </row>
    <row r="6548" spans="2:2">
      <c r="B6548" s="3"/>
    </row>
    <row r="6549" spans="2:2">
      <c r="B6549" s="3"/>
    </row>
    <row r="6550" spans="2:2">
      <c r="B6550" s="3"/>
    </row>
    <row r="6551" spans="2:2">
      <c r="B6551" s="3"/>
    </row>
    <row r="6552" spans="2:2">
      <c r="B6552" s="3"/>
    </row>
    <row r="6553" spans="2:2">
      <c r="B6553" s="3"/>
    </row>
    <row r="6554" spans="2:2">
      <c r="B6554" s="3"/>
    </row>
    <row r="6555" spans="2:2">
      <c r="B6555" s="3"/>
    </row>
    <row r="6556" spans="2:2">
      <c r="B6556" s="3"/>
    </row>
    <row r="6557" spans="2:2">
      <c r="B6557" s="3"/>
    </row>
    <row r="6558" spans="2:2">
      <c r="B6558" s="3"/>
    </row>
    <row r="6559" spans="2:2">
      <c r="B6559" s="3"/>
    </row>
    <row r="6560" spans="2:2">
      <c r="B6560" s="3"/>
    </row>
    <row r="6561" spans="2:2">
      <c r="B6561" s="3"/>
    </row>
    <row r="6562" spans="2:2">
      <c r="B6562" s="3"/>
    </row>
    <row r="6563" spans="2:2">
      <c r="B6563" s="3"/>
    </row>
    <row r="6564" spans="2:2">
      <c r="B6564" s="3"/>
    </row>
    <row r="6565" spans="2:2">
      <c r="B6565" s="3"/>
    </row>
    <row r="6566" spans="2:2">
      <c r="B6566" s="3"/>
    </row>
    <row r="6567" spans="2:2">
      <c r="B6567" s="3"/>
    </row>
    <row r="6568" spans="2:2">
      <c r="B6568" s="3"/>
    </row>
    <row r="6569" spans="2:2">
      <c r="B6569" s="3"/>
    </row>
    <row r="6570" spans="2:2">
      <c r="B6570" s="3"/>
    </row>
    <row r="6571" spans="2:2">
      <c r="B6571" s="3"/>
    </row>
    <row r="6572" spans="2:2">
      <c r="B6572" s="3"/>
    </row>
    <row r="6573" spans="2:2">
      <c r="B6573" s="3"/>
    </row>
    <row r="6574" spans="2:2">
      <c r="B6574" s="3"/>
    </row>
    <row r="6575" spans="2:2">
      <c r="B6575" s="3"/>
    </row>
    <row r="6576" spans="2:2">
      <c r="B6576" s="3"/>
    </row>
    <row r="6577" spans="2:2">
      <c r="B6577" s="3"/>
    </row>
    <row r="6578" spans="2:2">
      <c r="B6578" s="3"/>
    </row>
    <row r="6579" spans="2:2">
      <c r="B6579" s="3"/>
    </row>
    <row r="6580" spans="2:2">
      <c r="B6580" s="3"/>
    </row>
    <row r="6581" spans="2:2">
      <c r="B6581" s="3"/>
    </row>
    <row r="6582" spans="2:2">
      <c r="B6582" s="3"/>
    </row>
    <row r="6583" spans="2:2">
      <c r="B6583" s="3"/>
    </row>
    <row r="6584" spans="2:2">
      <c r="B6584" s="3"/>
    </row>
    <row r="6585" spans="2:2">
      <c r="B6585" s="3"/>
    </row>
    <row r="6586" spans="2:2">
      <c r="B6586" s="3"/>
    </row>
    <row r="6587" spans="2:2">
      <c r="B6587" s="3"/>
    </row>
    <row r="6588" spans="2:2">
      <c r="B6588" s="3"/>
    </row>
    <row r="6589" spans="2:2">
      <c r="B6589" s="3"/>
    </row>
    <row r="6590" spans="2:2">
      <c r="B6590" s="3"/>
    </row>
    <row r="6591" spans="2:2">
      <c r="B6591" s="3"/>
    </row>
    <row r="6592" spans="2:2">
      <c r="B6592" s="3"/>
    </row>
    <row r="6593" spans="2:2">
      <c r="B6593" s="3"/>
    </row>
    <row r="6594" spans="2:2">
      <c r="B6594" s="3"/>
    </row>
    <row r="6595" spans="2:2">
      <c r="B6595" s="3"/>
    </row>
    <row r="6596" spans="2:2">
      <c r="B6596" s="3"/>
    </row>
    <row r="6597" spans="2:2">
      <c r="B6597" s="3"/>
    </row>
    <row r="6598" spans="2:2">
      <c r="B6598" s="3"/>
    </row>
    <row r="6599" spans="2:2">
      <c r="B6599" s="3"/>
    </row>
    <row r="6600" spans="2:2">
      <c r="B6600" s="3"/>
    </row>
    <row r="6601" spans="2:2">
      <c r="B6601" s="3"/>
    </row>
    <row r="6602" spans="2:2">
      <c r="B6602" s="3"/>
    </row>
    <row r="6603" spans="2:2">
      <c r="B6603" s="3"/>
    </row>
    <row r="6604" spans="2:2">
      <c r="B6604" s="3"/>
    </row>
    <row r="6605" spans="2:2">
      <c r="B6605" s="3"/>
    </row>
    <row r="6606" spans="2:2">
      <c r="B6606" s="3"/>
    </row>
    <row r="6607" spans="2:2">
      <c r="B6607" s="3"/>
    </row>
    <row r="6608" spans="2:2">
      <c r="B6608" s="3"/>
    </row>
    <row r="6609" spans="2:2">
      <c r="B6609" s="3"/>
    </row>
    <row r="6610" spans="2:2">
      <c r="B6610" s="3"/>
    </row>
    <row r="6611" spans="2:2">
      <c r="B6611" s="3"/>
    </row>
    <row r="6612" spans="2:2">
      <c r="B6612" s="3"/>
    </row>
    <row r="6613" spans="2:2">
      <c r="B6613" s="3"/>
    </row>
    <row r="6614" spans="2:2">
      <c r="B6614" s="3"/>
    </row>
    <row r="6615" spans="2:2">
      <c r="B6615" s="3"/>
    </row>
    <row r="6616" spans="2:2">
      <c r="B6616" s="3"/>
    </row>
    <row r="6617" spans="2:2">
      <c r="B6617" s="3"/>
    </row>
    <row r="6618" spans="2:2">
      <c r="B6618" s="3"/>
    </row>
    <row r="6619" spans="2:2">
      <c r="B6619" s="3"/>
    </row>
    <row r="6620" spans="2:2">
      <c r="B6620" s="3"/>
    </row>
    <row r="6621" spans="2:2">
      <c r="B6621" s="3"/>
    </row>
    <row r="6622" spans="2:2">
      <c r="B6622" s="3"/>
    </row>
    <row r="6623" spans="2:2">
      <c r="B6623" s="3"/>
    </row>
    <row r="6624" spans="2:2">
      <c r="B6624" s="3"/>
    </row>
    <row r="6625" spans="2:2">
      <c r="B6625" s="3"/>
    </row>
    <row r="6626" spans="2:2">
      <c r="B6626" s="3"/>
    </row>
    <row r="6627" spans="2:2">
      <c r="B6627" s="3"/>
    </row>
    <row r="6628" spans="2:2">
      <c r="B6628" s="3"/>
    </row>
    <row r="6629" spans="2:2">
      <c r="B6629" s="3"/>
    </row>
    <row r="6630" spans="2:2">
      <c r="B6630" s="3"/>
    </row>
    <row r="6631" spans="2:2">
      <c r="B6631" s="3"/>
    </row>
    <row r="6632" spans="2:2">
      <c r="B6632" s="3"/>
    </row>
    <row r="6633" spans="2:2">
      <c r="B6633" s="3"/>
    </row>
    <row r="6634" spans="2:2">
      <c r="B6634" s="3"/>
    </row>
    <row r="6635" spans="2:2">
      <c r="B6635" s="3"/>
    </row>
    <row r="6636" spans="2:2">
      <c r="B6636" s="3"/>
    </row>
    <row r="6637" spans="2:2">
      <c r="B6637" s="3"/>
    </row>
    <row r="6638" spans="2:2">
      <c r="B6638" s="3"/>
    </row>
    <row r="6639" spans="2:2">
      <c r="B6639" s="3"/>
    </row>
    <row r="6640" spans="2:2">
      <c r="B6640" s="3"/>
    </row>
    <row r="6641" spans="2:2">
      <c r="B6641" s="3"/>
    </row>
    <row r="6642" spans="2:2">
      <c r="B6642" s="3"/>
    </row>
    <row r="6643" spans="2:2">
      <c r="B6643" s="3"/>
    </row>
    <row r="6644" spans="2:2">
      <c r="B6644" s="3"/>
    </row>
    <row r="6645" spans="2:2">
      <c r="B6645" s="3"/>
    </row>
    <row r="6646" spans="2:2">
      <c r="B6646" s="3"/>
    </row>
    <row r="6647" spans="2:2">
      <c r="B6647" s="3"/>
    </row>
    <row r="6648" spans="2:2">
      <c r="B6648" s="3"/>
    </row>
    <row r="6649" spans="2:2">
      <c r="B6649" s="3"/>
    </row>
    <row r="6650" spans="2:2">
      <c r="B6650" s="3"/>
    </row>
    <row r="6651" spans="2:2">
      <c r="B6651" s="3"/>
    </row>
    <row r="6652" spans="2:2">
      <c r="B6652" s="3"/>
    </row>
    <row r="6653" spans="2:2">
      <c r="B6653" s="3"/>
    </row>
    <row r="6654" spans="2:2">
      <c r="B6654" s="3"/>
    </row>
    <row r="6655" spans="2:2">
      <c r="B6655" s="3"/>
    </row>
    <row r="6656" spans="2:2">
      <c r="B6656" s="3"/>
    </row>
    <row r="6657" spans="2:2">
      <c r="B6657" s="3"/>
    </row>
    <row r="6658" spans="2:2">
      <c r="B6658" s="3"/>
    </row>
    <row r="6659" spans="2:2">
      <c r="B6659" s="3"/>
    </row>
    <row r="6660" spans="2:2">
      <c r="B6660" s="3"/>
    </row>
    <row r="6661" spans="2:2">
      <c r="B6661" s="3"/>
    </row>
    <row r="6662" spans="2:2">
      <c r="B6662" s="3"/>
    </row>
    <row r="6663" spans="2:2">
      <c r="B6663" s="3"/>
    </row>
    <row r="6664" spans="2:2">
      <c r="B6664" s="3"/>
    </row>
    <row r="6665" spans="2:2">
      <c r="B6665" s="3"/>
    </row>
    <row r="6666" spans="2:2">
      <c r="B6666" s="3"/>
    </row>
    <row r="6667" spans="2:2">
      <c r="B6667" s="3"/>
    </row>
    <row r="6668" spans="2:2">
      <c r="B6668" s="3"/>
    </row>
    <row r="6669" spans="2:2">
      <c r="B6669" s="3"/>
    </row>
    <row r="6670" spans="2:2">
      <c r="B6670" s="3"/>
    </row>
    <row r="6671" spans="2:2">
      <c r="B6671" s="3"/>
    </row>
    <row r="6672" spans="2:2">
      <c r="B6672" s="3"/>
    </row>
    <row r="6673" spans="2:2">
      <c r="B6673" s="3"/>
    </row>
    <row r="6674" spans="2:2">
      <c r="B6674" s="3"/>
    </row>
    <row r="6675" spans="2:2">
      <c r="B6675" s="3"/>
    </row>
    <row r="6676" spans="2:2">
      <c r="B6676" s="3"/>
    </row>
    <row r="6677" spans="2:2">
      <c r="B6677" s="3"/>
    </row>
    <row r="6678" spans="2:2">
      <c r="B6678" s="3"/>
    </row>
    <row r="6679" spans="2:2">
      <c r="B6679" s="3"/>
    </row>
    <row r="6680" spans="2:2">
      <c r="B6680" s="3"/>
    </row>
    <row r="6681" spans="2:2">
      <c r="B6681" s="3"/>
    </row>
    <row r="6682" spans="2:2">
      <c r="B6682" s="3"/>
    </row>
    <row r="6683" spans="2:2">
      <c r="B6683" s="3"/>
    </row>
    <row r="6684" spans="2:2">
      <c r="B6684" s="3"/>
    </row>
    <row r="6685" spans="2:2">
      <c r="B6685" s="3"/>
    </row>
    <row r="6686" spans="2:2">
      <c r="B6686" s="3"/>
    </row>
    <row r="6687" spans="2:2">
      <c r="B6687" s="3"/>
    </row>
    <row r="6688" spans="2:2">
      <c r="B6688" s="3"/>
    </row>
    <row r="6689" spans="2:2">
      <c r="B6689" s="3"/>
    </row>
    <row r="6690" spans="2:2">
      <c r="B6690" s="3"/>
    </row>
    <row r="6691" spans="2:2">
      <c r="B6691" s="3"/>
    </row>
    <row r="6692" spans="2:2">
      <c r="B6692" s="3"/>
    </row>
    <row r="6693" spans="2:2">
      <c r="B6693" s="3"/>
    </row>
    <row r="6694" spans="2:2">
      <c r="B6694" s="3"/>
    </row>
    <row r="6695" spans="2:2">
      <c r="B6695" s="3"/>
    </row>
    <row r="6696" spans="2:2">
      <c r="B6696" s="3"/>
    </row>
    <row r="6697" spans="2:2">
      <c r="B6697" s="3"/>
    </row>
    <row r="6698" spans="2:2">
      <c r="B6698" s="3"/>
    </row>
    <row r="6699" spans="2:2">
      <c r="B6699" s="3"/>
    </row>
    <row r="6700" spans="2:2">
      <c r="B6700" s="3"/>
    </row>
    <row r="6701" spans="2:2">
      <c r="B6701" s="3"/>
    </row>
    <row r="6702" spans="2:2">
      <c r="B6702" s="3"/>
    </row>
    <row r="6703" spans="2:2">
      <c r="B6703" s="3"/>
    </row>
    <row r="6704" spans="2:2">
      <c r="B6704" s="3"/>
    </row>
    <row r="6705" spans="2:2">
      <c r="B6705" s="3"/>
    </row>
    <row r="6706" spans="2:2">
      <c r="B6706" s="3"/>
    </row>
    <row r="6707" spans="2:2">
      <c r="B6707" s="3"/>
    </row>
    <row r="6708" spans="2:2">
      <c r="B6708" s="3"/>
    </row>
    <row r="6709" spans="2:2">
      <c r="B6709" s="3"/>
    </row>
    <row r="6710" spans="2:2">
      <c r="B6710" s="3"/>
    </row>
    <row r="6711" spans="2:2">
      <c r="B6711" s="3"/>
    </row>
    <row r="6712" spans="2:2">
      <c r="B6712" s="3"/>
    </row>
    <row r="6713" spans="2:2">
      <c r="B6713" s="3"/>
    </row>
    <row r="6714" spans="2:2">
      <c r="B6714" s="3"/>
    </row>
    <row r="6715" spans="2:2">
      <c r="B6715" s="3"/>
    </row>
    <row r="6716" spans="2:2">
      <c r="B6716" s="3"/>
    </row>
    <row r="6717" spans="2:2">
      <c r="B6717" s="3"/>
    </row>
    <row r="6718" spans="2:2">
      <c r="B6718" s="3"/>
    </row>
    <row r="6719" spans="2:2">
      <c r="B6719" s="3"/>
    </row>
    <row r="6720" spans="2:2">
      <c r="B6720" s="3"/>
    </row>
    <row r="6721" spans="2:2">
      <c r="B6721" s="3"/>
    </row>
    <row r="6722" spans="2:2">
      <c r="B6722" s="3"/>
    </row>
    <row r="6723" spans="2:2">
      <c r="B6723" s="3"/>
    </row>
    <row r="6724" spans="2:2">
      <c r="B6724" s="3"/>
    </row>
    <row r="6725" spans="2:2">
      <c r="B6725" s="3"/>
    </row>
    <row r="6726" spans="2:2">
      <c r="B6726" s="3"/>
    </row>
    <row r="6727" spans="2:2">
      <c r="B6727" s="3"/>
    </row>
    <row r="6728" spans="2:2">
      <c r="B6728" s="3"/>
    </row>
    <row r="6729" spans="2:2">
      <c r="B6729" s="3"/>
    </row>
    <row r="6730" spans="2:2">
      <c r="B6730" s="3"/>
    </row>
    <row r="6731" spans="2:2">
      <c r="B6731" s="3"/>
    </row>
    <row r="6732" spans="2:2">
      <c r="B6732" s="3"/>
    </row>
    <row r="6733" spans="2:2">
      <c r="B6733" s="3"/>
    </row>
    <row r="6734" spans="2:2">
      <c r="B6734" s="3"/>
    </row>
    <row r="6735" spans="2:2">
      <c r="B6735" s="3"/>
    </row>
    <row r="6736" spans="2:2">
      <c r="B6736" s="3"/>
    </row>
    <row r="6737" spans="2:2">
      <c r="B6737" s="3"/>
    </row>
    <row r="6738" spans="2:2">
      <c r="B6738" s="3"/>
    </row>
    <row r="6739" spans="2:2">
      <c r="B6739" s="3"/>
    </row>
    <row r="6740" spans="2:2">
      <c r="B6740" s="3"/>
    </row>
    <row r="6741" spans="2:2">
      <c r="B6741" s="3"/>
    </row>
    <row r="6742" spans="2:2">
      <c r="B6742" s="3"/>
    </row>
    <row r="6743" spans="2:2">
      <c r="B6743" s="3"/>
    </row>
    <row r="6744" spans="2:2">
      <c r="B6744" s="3"/>
    </row>
    <row r="6745" spans="2:2">
      <c r="B6745" s="3"/>
    </row>
    <row r="6746" spans="2:2">
      <c r="B6746" s="3"/>
    </row>
    <row r="6747" spans="2:2">
      <c r="B6747" s="3"/>
    </row>
    <row r="6748" spans="2:2">
      <c r="B6748" s="3"/>
    </row>
    <row r="6749" spans="2:2">
      <c r="B6749" s="3"/>
    </row>
    <row r="6750" spans="2:2">
      <c r="B6750" s="3"/>
    </row>
    <row r="6751" spans="2:2">
      <c r="B6751" s="3"/>
    </row>
    <row r="6752" spans="2:2">
      <c r="B6752" s="3"/>
    </row>
    <row r="6753" spans="2:2">
      <c r="B6753" s="3"/>
    </row>
    <row r="6754" spans="2:2">
      <c r="B6754" s="3"/>
    </row>
    <row r="6755" spans="2:2">
      <c r="B6755" s="3"/>
    </row>
    <row r="6756" spans="2:2">
      <c r="B6756" s="3"/>
    </row>
    <row r="6757" spans="2:2">
      <c r="B6757" s="3"/>
    </row>
    <row r="6758" spans="2:2">
      <c r="B6758" s="3"/>
    </row>
    <row r="6759" spans="2:2">
      <c r="B6759" s="3"/>
    </row>
    <row r="6760" spans="2:2">
      <c r="B6760" s="3"/>
    </row>
    <row r="6761" spans="2:2">
      <c r="B6761" s="3"/>
    </row>
    <row r="6762" spans="2:2">
      <c r="B6762" s="3"/>
    </row>
    <row r="6763" spans="2:2">
      <c r="B6763" s="3"/>
    </row>
    <row r="6764" spans="2:2">
      <c r="B6764" s="3"/>
    </row>
    <row r="6765" spans="2:2">
      <c r="B6765" s="3"/>
    </row>
    <row r="6766" spans="2:2">
      <c r="B6766" s="3"/>
    </row>
    <row r="6767" spans="2:2">
      <c r="B6767" s="3"/>
    </row>
    <row r="6768" spans="2:2">
      <c r="B6768" s="3"/>
    </row>
    <row r="6769" spans="2:2">
      <c r="B6769" s="3"/>
    </row>
    <row r="6770" spans="2:2">
      <c r="B6770" s="3"/>
    </row>
    <row r="6771" spans="2:2">
      <c r="B6771" s="3"/>
    </row>
    <row r="6772" spans="2:2">
      <c r="B6772" s="3"/>
    </row>
    <row r="6773" spans="2:2">
      <c r="B6773" s="3"/>
    </row>
    <row r="6774" spans="2:2">
      <c r="B6774" s="3"/>
    </row>
    <row r="6775" spans="2:2">
      <c r="B6775" s="3"/>
    </row>
    <row r="6776" spans="2:2">
      <c r="B6776" s="3"/>
    </row>
    <row r="6777" spans="2:2">
      <c r="B6777" s="3"/>
    </row>
    <row r="6778" spans="2:2">
      <c r="B6778" s="3"/>
    </row>
    <row r="6779" spans="2:2">
      <c r="B6779" s="3"/>
    </row>
    <row r="6780" spans="2:2">
      <c r="B6780" s="3"/>
    </row>
    <row r="6781" spans="2:2">
      <c r="B6781" s="3"/>
    </row>
    <row r="6782" spans="2:2">
      <c r="B6782" s="3"/>
    </row>
    <row r="6783" spans="2:2">
      <c r="B6783" s="3"/>
    </row>
    <row r="6784" spans="2:2">
      <c r="B6784" s="3"/>
    </row>
    <row r="6785" spans="2:2">
      <c r="B6785" s="3"/>
    </row>
    <row r="6786" spans="2:2">
      <c r="B6786" s="3"/>
    </row>
    <row r="6787" spans="2:2">
      <c r="B6787" s="3"/>
    </row>
    <row r="6788" spans="2:2">
      <c r="B6788" s="3"/>
    </row>
    <row r="6789" spans="2:2">
      <c r="B6789" s="3"/>
    </row>
    <row r="6790" spans="2:2">
      <c r="B6790" s="3"/>
    </row>
    <row r="6791" spans="2:2">
      <c r="B6791" s="3"/>
    </row>
    <row r="6792" spans="2:2">
      <c r="B6792" s="3"/>
    </row>
    <row r="6793" spans="2:2">
      <c r="B6793" s="3"/>
    </row>
    <row r="6794" spans="2:2">
      <c r="B6794" s="3"/>
    </row>
    <row r="6795" spans="2:2">
      <c r="B6795" s="3"/>
    </row>
    <row r="6796" spans="2:2">
      <c r="B6796" s="3"/>
    </row>
    <row r="6797" spans="2:2">
      <c r="B6797" s="3"/>
    </row>
    <row r="6798" spans="2:2">
      <c r="B6798" s="3"/>
    </row>
    <row r="6799" spans="2:2">
      <c r="B6799" s="3"/>
    </row>
    <row r="6800" spans="2:2">
      <c r="B6800" s="3"/>
    </row>
    <row r="6801" spans="2:2">
      <c r="B6801" s="3"/>
    </row>
    <row r="6802" spans="2:2">
      <c r="B6802" s="3"/>
    </row>
    <row r="6803" spans="2:2">
      <c r="B6803" s="3"/>
    </row>
    <row r="6804" spans="2:2">
      <c r="B6804" s="3"/>
    </row>
    <row r="6805" spans="2:2">
      <c r="B6805" s="3"/>
    </row>
    <row r="6806" spans="2:2">
      <c r="B6806" s="3"/>
    </row>
    <row r="6807" spans="2:2">
      <c r="B6807" s="3"/>
    </row>
    <row r="6808" spans="2:2">
      <c r="B6808" s="3"/>
    </row>
    <row r="6809" spans="2:2">
      <c r="B6809" s="3"/>
    </row>
    <row r="6810" spans="2:2">
      <c r="B6810" s="3"/>
    </row>
    <row r="6811" spans="2:2">
      <c r="B6811" s="3"/>
    </row>
    <row r="6812" spans="2:2">
      <c r="B6812" s="3"/>
    </row>
    <row r="6813" spans="2:2">
      <c r="B6813" s="3"/>
    </row>
    <row r="6814" spans="2:2">
      <c r="B6814" s="3"/>
    </row>
    <row r="6815" spans="2:2">
      <c r="B6815" s="3"/>
    </row>
    <row r="6816" spans="2:2">
      <c r="B6816" s="3"/>
    </row>
    <row r="6817" spans="2:2">
      <c r="B6817" s="3"/>
    </row>
    <row r="6818" spans="2:2">
      <c r="B6818" s="3"/>
    </row>
    <row r="6819" spans="2:2">
      <c r="B6819" s="3"/>
    </row>
    <row r="6820" spans="2:2">
      <c r="B6820" s="3"/>
    </row>
    <row r="6821" spans="2:2">
      <c r="B6821" s="3"/>
    </row>
    <row r="6822" spans="2:2">
      <c r="B6822" s="3"/>
    </row>
    <row r="6823" spans="2:2">
      <c r="B6823" s="3"/>
    </row>
    <row r="6824" spans="2:2">
      <c r="B6824" s="3"/>
    </row>
    <row r="6825" spans="2:2">
      <c r="B6825" s="3"/>
    </row>
    <row r="6826" spans="2:2">
      <c r="B6826" s="3"/>
    </row>
    <row r="6827" spans="2:2">
      <c r="B6827" s="3"/>
    </row>
    <row r="6828" spans="2:2">
      <c r="B6828" s="3"/>
    </row>
    <row r="6829" spans="2:2">
      <c r="B6829" s="3"/>
    </row>
    <row r="6830" spans="2:2">
      <c r="B6830" s="3"/>
    </row>
    <row r="6831" spans="2:2">
      <c r="B6831" s="3"/>
    </row>
    <row r="6832" spans="2:2">
      <c r="B6832" s="3"/>
    </row>
    <row r="6833" spans="2:2">
      <c r="B6833" s="3"/>
    </row>
    <row r="6834" spans="2:2">
      <c r="B6834" s="3"/>
    </row>
    <row r="6835" spans="2:2">
      <c r="B6835" s="3"/>
    </row>
    <row r="6836" spans="2:2">
      <c r="B6836" s="3"/>
    </row>
    <row r="6837" spans="2:2">
      <c r="B6837" s="3"/>
    </row>
    <row r="6838" spans="2:2">
      <c r="B6838" s="3"/>
    </row>
    <row r="6839" spans="2:2">
      <c r="B6839" s="3"/>
    </row>
    <row r="6840" spans="2:2">
      <c r="B6840" s="3"/>
    </row>
    <row r="6841" spans="2:2">
      <c r="B6841" s="3"/>
    </row>
    <row r="6842" spans="2:2">
      <c r="B6842" s="3"/>
    </row>
    <row r="6843" spans="2:2">
      <c r="B6843" s="3"/>
    </row>
    <row r="6844" spans="2:2">
      <c r="B6844" s="3"/>
    </row>
    <row r="6845" spans="2:2">
      <c r="B6845" s="3"/>
    </row>
    <row r="6846" spans="2:2">
      <c r="B6846" s="3"/>
    </row>
    <row r="6847" spans="2:2">
      <c r="B6847" s="3"/>
    </row>
    <row r="6848" spans="2:2">
      <c r="B6848" s="3"/>
    </row>
    <row r="6849" spans="2:2">
      <c r="B6849" s="3"/>
    </row>
    <row r="6850" spans="2:2">
      <c r="B6850" s="3"/>
    </row>
    <row r="6851" spans="2:2">
      <c r="B6851" s="3"/>
    </row>
    <row r="6852" spans="2:2">
      <c r="B6852" s="3"/>
    </row>
    <row r="6853" spans="2:2">
      <c r="B6853" s="3"/>
    </row>
    <row r="6854" spans="2:2">
      <c r="B6854" s="3"/>
    </row>
    <row r="6855" spans="2:2">
      <c r="B6855" s="3"/>
    </row>
    <row r="6856" spans="2:2">
      <c r="B6856" s="3"/>
    </row>
    <row r="6857" spans="2:2">
      <c r="B6857" s="3"/>
    </row>
    <row r="6858" spans="2:2">
      <c r="B6858" s="3"/>
    </row>
    <row r="6859" spans="2:2">
      <c r="B6859" s="3"/>
    </row>
    <row r="6860" spans="2:2">
      <c r="B6860" s="3"/>
    </row>
    <row r="6861" spans="2:2">
      <c r="B6861" s="3"/>
    </row>
    <row r="6862" spans="2:2">
      <c r="B6862" s="3"/>
    </row>
    <row r="6863" spans="2:2">
      <c r="B6863" s="3"/>
    </row>
    <row r="6864" spans="2:2">
      <c r="B6864" s="3"/>
    </row>
    <row r="6865" spans="2:2">
      <c r="B6865" s="3"/>
    </row>
    <row r="6866" spans="2:2">
      <c r="B6866" s="3"/>
    </row>
    <row r="6867" spans="2:2">
      <c r="B6867" s="3"/>
    </row>
    <row r="6868" spans="2:2">
      <c r="B6868" s="3"/>
    </row>
    <row r="6869" spans="2:2">
      <c r="B6869" s="3"/>
    </row>
    <row r="6870" spans="2:2">
      <c r="B6870" s="3"/>
    </row>
    <row r="6871" spans="2:2">
      <c r="B6871" s="3"/>
    </row>
    <row r="6872" spans="2:2">
      <c r="B6872" s="3"/>
    </row>
    <row r="6873" spans="2:2">
      <c r="B6873" s="3"/>
    </row>
    <row r="6874" spans="2:2">
      <c r="B6874" s="3"/>
    </row>
    <row r="6875" spans="2:2">
      <c r="B6875" s="3"/>
    </row>
    <row r="6876" spans="2:2">
      <c r="B6876" s="3"/>
    </row>
    <row r="6877" spans="2:2">
      <c r="B6877" s="3"/>
    </row>
    <row r="6878" spans="2:2">
      <c r="B6878" s="3"/>
    </row>
    <row r="6879" spans="2:2">
      <c r="B6879" s="3"/>
    </row>
    <row r="6880" spans="2:2">
      <c r="B6880" s="3"/>
    </row>
    <row r="6881" spans="2:2">
      <c r="B6881" s="3"/>
    </row>
    <row r="6882" spans="2:2">
      <c r="B6882" s="3"/>
    </row>
    <row r="6883" spans="2:2">
      <c r="B6883" s="3"/>
    </row>
    <row r="6884" spans="2:2">
      <c r="B6884" s="3"/>
    </row>
    <row r="6885" spans="2:2">
      <c r="B6885" s="3"/>
    </row>
    <row r="6886" spans="2:2">
      <c r="B6886" s="3"/>
    </row>
    <row r="6887" spans="2:2">
      <c r="B6887" s="3"/>
    </row>
    <row r="6888" spans="2:2">
      <c r="B6888" s="3"/>
    </row>
    <row r="6889" spans="2:2">
      <c r="B6889" s="3"/>
    </row>
    <row r="6890" spans="2:2">
      <c r="B6890" s="3"/>
    </row>
    <row r="6891" spans="2:2">
      <c r="B6891" s="3"/>
    </row>
    <row r="6892" spans="2:2">
      <c r="B6892" s="3"/>
    </row>
    <row r="6893" spans="2:2">
      <c r="B6893" s="3"/>
    </row>
    <row r="6894" spans="2:2">
      <c r="B6894" s="3"/>
    </row>
    <row r="6895" spans="2:2">
      <c r="B6895" s="3"/>
    </row>
    <row r="6896" spans="2:2">
      <c r="B6896" s="3"/>
    </row>
    <row r="6897" spans="2:2">
      <c r="B6897" s="3"/>
    </row>
    <row r="6898" spans="2:2">
      <c r="B6898" s="3"/>
    </row>
    <row r="6899" spans="2:2">
      <c r="B6899" s="3"/>
    </row>
    <row r="6900" spans="2:2">
      <c r="B6900" s="3"/>
    </row>
    <row r="6901" spans="2:2">
      <c r="B6901" s="3"/>
    </row>
    <row r="6902" spans="2:2">
      <c r="B6902" s="3"/>
    </row>
    <row r="6903" spans="2:2">
      <c r="B6903" s="3"/>
    </row>
    <row r="6904" spans="2:2">
      <c r="B6904" s="3"/>
    </row>
    <row r="6905" spans="2:2">
      <c r="B6905" s="3"/>
    </row>
    <row r="6906" spans="2:2">
      <c r="B6906" s="3"/>
    </row>
    <row r="6907" spans="2:2">
      <c r="B6907" s="3"/>
    </row>
    <row r="6908" spans="2:2">
      <c r="B6908" s="3"/>
    </row>
    <row r="6909" spans="2:2">
      <c r="B6909" s="3"/>
    </row>
    <row r="6910" spans="2:2">
      <c r="B6910" s="3"/>
    </row>
    <row r="6911" spans="2:2">
      <c r="B6911" s="3"/>
    </row>
    <row r="6912" spans="2:2">
      <c r="B6912" s="3"/>
    </row>
    <row r="6913" spans="2:2">
      <c r="B6913" s="3"/>
    </row>
    <row r="6914" spans="2:2">
      <c r="B6914" s="3"/>
    </row>
    <row r="6915" spans="2:2">
      <c r="B6915" s="3"/>
    </row>
    <row r="6916" spans="2:2">
      <c r="B6916" s="3"/>
    </row>
    <row r="6917" spans="2:2">
      <c r="B6917" s="3"/>
    </row>
    <row r="6918" spans="2:2">
      <c r="B6918" s="3"/>
    </row>
    <row r="6919" spans="2:2">
      <c r="B6919" s="3"/>
    </row>
    <row r="6920" spans="2:2">
      <c r="B6920" s="3"/>
    </row>
    <row r="6921" spans="2:2">
      <c r="B6921" s="3"/>
    </row>
    <row r="6922" spans="2:2">
      <c r="B6922" s="3"/>
    </row>
    <row r="6923" spans="2:2">
      <c r="B6923" s="3"/>
    </row>
    <row r="6924" spans="2:2">
      <c r="B6924" s="3"/>
    </row>
    <row r="6925" spans="2:2">
      <c r="B6925" s="3"/>
    </row>
    <row r="6926" spans="2:2">
      <c r="B6926" s="3"/>
    </row>
    <row r="6927" spans="2:2">
      <c r="B6927" s="3"/>
    </row>
    <row r="6928" spans="2:2">
      <c r="B6928" s="3"/>
    </row>
    <row r="6929" spans="2:2">
      <c r="B6929" s="3"/>
    </row>
    <row r="6930" spans="2:2">
      <c r="B6930" s="3"/>
    </row>
    <row r="6931" spans="2:2">
      <c r="B6931" s="3"/>
    </row>
    <row r="6932" spans="2:2">
      <c r="B6932" s="3"/>
    </row>
    <row r="6933" spans="2:2">
      <c r="B6933" s="3"/>
    </row>
    <row r="6934" spans="2:2">
      <c r="B6934" s="3"/>
    </row>
    <row r="6935" spans="2:2">
      <c r="B6935" s="3"/>
    </row>
    <row r="6936" spans="2:2">
      <c r="B6936" s="3"/>
    </row>
    <row r="6937" spans="2:2">
      <c r="B6937" s="3"/>
    </row>
    <row r="6938" spans="2:2">
      <c r="B6938" s="3"/>
    </row>
    <row r="6939" spans="2:2">
      <c r="B6939" s="3"/>
    </row>
    <row r="6940" spans="2:2">
      <c r="B6940" s="3"/>
    </row>
    <row r="6941" spans="2:2">
      <c r="B6941" s="3"/>
    </row>
    <row r="6942" spans="2:2">
      <c r="B6942" s="3"/>
    </row>
    <row r="6943" spans="2:2">
      <c r="B6943" s="3"/>
    </row>
    <row r="6944" spans="2:2">
      <c r="B6944" s="3"/>
    </row>
    <row r="6945" spans="2:2">
      <c r="B6945" s="3"/>
    </row>
    <row r="6946" spans="2:2">
      <c r="B6946" s="3"/>
    </row>
    <row r="6947" spans="2:2">
      <c r="B6947" s="3"/>
    </row>
    <row r="6948" spans="2:2">
      <c r="B6948" s="3"/>
    </row>
    <row r="6949" spans="2:2">
      <c r="B6949" s="3"/>
    </row>
    <row r="6950" spans="2:2">
      <c r="B6950" s="3"/>
    </row>
    <row r="6951" spans="2:2">
      <c r="B6951" s="3"/>
    </row>
    <row r="6952" spans="2:2">
      <c r="B6952" s="3"/>
    </row>
    <row r="6953" spans="2:2">
      <c r="B6953" s="3"/>
    </row>
    <row r="6954" spans="2:2">
      <c r="B6954" s="3"/>
    </row>
    <row r="6955" spans="2:2">
      <c r="B6955" s="3"/>
    </row>
    <row r="6956" spans="2:2">
      <c r="B6956" s="3"/>
    </row>
    <row r="6957" spans="2:2">
      <c r="B6957" s="3"/>
    </row>
    <row r="6958" spans="2:2">
      <c r="B6958" s="3"/>
    </row>
    <row r="6959" spans="2:2">
      <c r="B6959" s="3"/>
    </row>
    <row r="6960" spans="2:2">
      <c r="B6960" s="3"/>
    </row>
    <row r="6961" spans="2:2">
      <c r="B6961" s="3"/>
    </row>
    <row r="6962" spans="2:2">
      <c r="B6962" s="3"/>
    </row>
    <row r="6963" spans="2:2">
      <c r="B6963" s="3"/>
    </row>
    <row r="6964" spans="2:2">
      <c r="B6964" s="3"/>
    </row>
    <row r="6965" spans="2:2">
      <c r="B6965" s="3"/>
    </row>
    <row r="6966" spans="2:2">
      <c r="B6966" s="3"/>
    </row>
    <row r="6967" spans="2:2">
      <c r="B6967" s="3"/>
    </row>
    <row r="6968" spans="2:2">
      <c r="B6968" s="3"/>
    </row>
    <row r="6969" spans="2:2">
      <c r="B6969" s="3"/>
    </row>
    <row r="6970" spans="2:2">
      <c r="B6970" s="3"/>
    </row>
    <row r="6971" spans="2:2">
      <c r="B6971" s="3"/>
    </row>
    <row r="6972" spans="2:2">
      <c r="B6972" s="3"/>
    </row>
    <row r="6973" spans="2:2">
      <c r="B6973" s="3"/>
    </row>
    <row r="6974" spans="2:2">
      <c r="B6974" s="3"/>
    </row>
    <row r="6975" spans="2:2">
      <c r="B6975" s="3"/>
    </row>
    <row r="6976" spans="2:2">
      <c r="B6976" s="3"/>
    </row>
    <row r="6977" spans="2:2">
      <c r="B6977" s="3"/>
    </row>
    <row r="6978" spans="2:2">
      <c r="B6978" s="3"/>
    </row>
    <row r="6979" spans="2:2">
      <c r="B6979" s="3"/>
    </row>
    <row r="6980" spans="2:2">
      <c r="B6980" s="3"/>
    </row>
    <row r="6981" spans="2:2">
      <c r="B6981" s="3"/>
    </row>
    <row r="6982" spans="2:2">
      <c r="B6982" s="3"/>
    </row>
    <row r="6983" spans="2:2">
      <c r="B6983" s="3"/>
    </row>
    <row r="6984" spans="2:2">
      <c r="B6984" s="3"/>
    </row>
    <row r="6985" spans="2:2">
      <c r="B6985" s="3"/>
    </row>
    <row r="6986" spans="2:2">
      <c r="B6986" s="3"/>
    </row>
    <row r="6987" spans="2:2">
      <c r="B6987" s="3"/>
    </row>
    <row r="6988" spans="2:2">
      <c r="B6988" s="3"/>
    </row>
    <row r="6989" spans="2:2">
      <c r="B6989" s="3"/>
    </row>
    <row r="6990" spans="2:2">
      <c r="B6990" s="3"/>
    </row>
    <row r="6991" spans="2:2">
      <c r="B6991" s="3"/>
    </row>
    <row r="6992" spans="2:2">
      <c r="B6992" s="3"/>
    </row>
    <row r="6993" spans="2:2">
      <c r="B6993" s="3"/>
    </row>
    <row r="6994" spans="2:2">
      <c r="B6994" s="3"/>
    </row>
    <row r="6995" spans="2:2">
      <c r="B6995" s="3"/>
    </row>
    <row r="6996" spans="2:2">
      <c r="B6996" s="3"/>
    </row>
    <row r="6997" spans="2:2">
      <c r="B6997" s="3"/>
    </row>
    <row r="6998" spans="2:2">
      <c r="B6998" s="3"/>
    </row>
    <row r="6999" spans="2:2">
      <c r="B6999" s="3"/>
    </row>
    <row r="7000" spans="2:2">
      <c r="B7000" s="3"/>
    </row>
    <row r="7001" spans="2:2">
      <c r="B7001" s="3"/>
    </row>
    <row r="7002" spans="2:2">
      <c r="B7002" s="3"/>
    </row>
    <row r="7003" spans="2:2">
      <c r="B7003" s="3"/>
    </row>
    <row r="7004" spans="2:2">
      <c r="B7004" s="3"/>
    </row>
    <row r="7005" spans="2:2">
      <c r="B7005" s="3"/>
    </row>
    <row r="7006" spans="2:2">
      <c r="B7006" s="3"/>
    </row>
    <row r="7007" spans="2:2">
      <c r="B7007" s="3"/>
    </row>
    <row r="7008" spans="2:2">
      <c r="B7008" s="3"/>
    </row>
    <row r="7009" spans="2:2">
      <c r="B7009" s="3"/>
    </row>
    <row r="7010" spans="2:2">
      <c r="B7010" s="3"/>
    </row>
    <row r="7011" spans="2:2">
      <c r="B7011" s="3"/>
    </row>
    <row r="7012" spans="2:2">
      <c r="B7012" s="3"/>
    </row>
    <row r="7013" spans="2:2">
      <c r="B7013" s="3"/>
    </row>
    <row r="7014" spans="2:2">
      <c r="B7014" s="3"/>
    </row>
    <row r="7015" spans="2:2">
      <c r="B7015" s="3"/>
    </row>
    <row r="7016" spans="2:2">
      <c r="B7016" s="3"/>
    </row>
    <row r="7017" spans="2:2">
      <c r="B7017" s="3"/>
    </row>
    <row r="7018" spans="2:2">
      <c r="B7018" s="3"/>
    </row>
    <row r="7019" spans="2:2">
      <c r="B7019" s="3"/>
    </row>
    <row r="7020" spans="2:2">
      <c r="B7020" s="3"/>
    </row>
    <row r="7021" spans="2:2">
      <c r="B7021" s="3"/>
    </row>
    <row r="7022" spans="2:2">
      <c r="B7022" s="3"/>
    </row>
    <row r="7023" spans="2:2">
      <c r="B7023" s="3"/>
    </row>
    <row r="7024" spans="2:2">
      <c r="B7024" s="3"/>
    </row>
    <row r="7025" spans="2:2">
      <c r="B7025" s="3"/>
    </row>
    <row r="7026" spans="2:2">
      <c r="B7026" s="3"/>
    </row>
    <row r="7027" spans="2:2">
      <c r="B7027" s="3"/>
    </row>
    <row r="7028" spans="2:2">
      <c r="B7028" s="3"/>
    </row>
    <row r="7029" spans="2:2">
      <c r="B7029" s="3"/>
    </row>
    <row r="7030" spans="2:2">
      <c r="B7030" s="3"/>
    </row>
    <row r="7031" spans="2:2">
      <c r="B7031" s="3"/>
    </row>
    <row r="7032" spans="2:2">
      <c r="B7032" s="3"/>
    </row>
    <row r="7033" spans="2:2">
      <c r="B7033" s="3"/>
    </row>
    <row r="7034" spans="2:2">
      <c r="B7034" s="3"/>
    </row>
    <row r="7035" spans="2:2">
      <c r="B7035" s="3"/>
    </row>
    <row r="7036" spans="2:2">
      <c r="B7036" s="3"/>
    </row>
    <row r="7037" spans="2:2">
      <c r="B7037" s="3"/>
    </row>
    <row r="7038" spans="2:2">
      <c r="B7038" s="3"/>
    </row>
    <row r="7039" spans="2:2">
      <c r="B7039" s="3"/>
    </row>
    <row r="7040" spans="2:2">
      <c r="B7040" s="3"/>
    </row>
    <row r="7041" spans="2:2">
      <c r="B7041" s="3"/>
    </row>
    <row r="7042" spans="2:2">
      <c r="B7042" s="3"/>
    </row>
    <row r="7043" spans="2:2">
      <c r="B7043" s="3"/>
    </row>
    <row r="7044" spans="2:2">
      <c r="B7044" s="3"/>
    </row>
    <row r="7045" spans="2:2">
      <c r="B7045" s="3"/>
    </row>
    <row r="7046" spans="2:2">
      <c r="B7046" s="3"/>
    </row>
    <row r="7047" spans="2:2">
      <c r="B7047" s="3"/>
    </row>
    <row r="7048" spans="2:2">
      <c r="B7048" s="3"/>
    </row>
    <row r="7049" spans="2:2">
      <c r="B7049" s="3"/>
    </row>
    <row r="7050" spans="2:2">
      <c r="B7050" s="3"/>
    </row>
    <row r="7051" spans="2:2">
      <c r="B7051" s="3"/>
    </row>
    <row r="7052" spans="2:2">
      <c r="B7052" s="3"/>
    </row>
    <row r="7053" spans="2:2">
      <c r="B7053" s="3"/>
    </row>
    <row r="7054" spans="2:2">
      <c r="B7054" s="3"/>
    </row>
    <row r="7055" spans="2:2">
      <c r="B7055" s="3"/>
    </row>
    <row r="7056" spans="2:2">
      <c r="B7056" s="3"/>
    </row>
    <row r="7057" spans="2:2">
      <c r="B7057" s="3"/>
    </row>
    <row r="7058" spans="2:2">
      <c r="B7058" s="3"/>
    </row>
    <row r="7059" spans="2:2">
      <c r="B7059" s="3"/>
    </row>
    <row r="7060" spans="2:2">
      <c r="B7060" s="3"/>
    </row>
    <row r="7061" spans="2:2">
      <c r="B7061" s="3"/>
    </row>
    <row r="7062" spans="2:2">
      <c r="B7062" s="3"/>
    </row>
    <row r="7063" spans="2:2">
      <c r="B7063" s="3"/>
    </row>
    <row r="7064" spans="2:2">
      <c r="B7064" s="3"/>
    </row>
    <row r="7065" spans="2:2">
      <c r="B7065" s="3"/>
    </row>
    <row r="7066" spans="2:2">
      <c r="B7066" s="3"/>
    </row>
    <row r="7067" spans="2:2">
      <c r="B7067" s="3"/>
    </row>
    <row r="7068" spans="2:2">
      <c r="B7068" s="3"/>
    </row>
    <row r="7069" spans="2:2">
      <c r="B7069" s="3"/>
    </row>
    <row r="7070" spans="2:2">
      <c r="B7070" s="3"/>
    </row>
    <row r="7071" spans="2:2">
      <c r="B7071" s="3"/>
    </row>
    <row r="7072" spans="2:2">
      <c r="B7072" s="3"/>
    </row>
    <row r="7073" spans="2:2">
      <c r="B7073" s="3"/>
    </row>
    <row r="7074" spans="2:2">
      <c r="B7074" s="3"/>
    </row>
    <row r="7075" spans="2:2">
      <c r="B7075" s="3"/>
    </row>
    <row r="7076" spans="2:2">
      <c r="B7076" s="3"/>
    </row>
    <row r="7077" spans="2:2">
      <c r="B7077" s="3"/>
    </row>
    <row r="7078" spans="2:2">
      <c r="B7078" s="3"/>
    </row>
    <row r="7079" spans="2:2">
      <c r="B7079" s="3"/>
    </row>
    <row r="7080" spans="2:2">
      <c r="B7080" s="3"/>
    </row>
    <row r="7081" spans="2:2">
      <c r="B7081" s="3"/>
    </row>
    <row r="7082" spans="2:2">
      <c r="B7082" s="3"/>
    </row>
    <row r="7083" spans="2:2">
      <c r="B7083" s="3"/>
    </row>
    <row r="7084" spans="2:2">
      <c r="B7084" s="3"/>
    </row>
    <row r="7085" spans="2:2">
      <c r="B7085" s="3"/>
    </row>
    <row r="7086" spans="2:2">
      <c r="B7086" s="3"/>
    </row>
    <row r="7087" spans="2:2">
      <c r="B7087" s="3"/>
    </row>
    <row r="7088" spans="2:2">
      <c r="B7088" s="3"/>
    </row>
    <row r="7089" spans="2:2">
      <c r="B7089" s="3"/>
    </row>
    <row r="7090" spans="2:2">
      <c r="B7090" s="3"/>
    </row>
    <row r="7091" spans="2:2">
      <c r="B7091" s="3"/>
    </row>
    <row r="7092" spans="2:2">
      <c r="B7092" s="3"/>
    </row>
    <row r="7093" spans="2:2">
      <c r="B7093" s="3"/>
    </row>
    <row r="7094" spans="2:2">
      <c r="B7094" s="3"/>
    </row>
    <row r="7095" spans="2:2">
      <c r="B7095" s="3"/>
    </row>
    <row r="7096" spans="2:2">
      <c r="B7096" s="3"/>
    </row>
    <row r="7097" spans="2:2">
      <c r="B7097" s="3"/>
    </row>
    <row r="7098" spans="2:2">
      <c r="B7098" s="3"/>
    </row>
    <row r="7099" spans="2:2">
      <c r="B7099" s="3"/>
    </row>
    <row r="7100" spans="2:2">
      <c r="B7100" s="3"/>
    </row>
    <row r="7101" spans="2:2">
      <c r="B7101" s="3"/>
    </row>
    <row r="7102" spans="2:2">
      <c r="B7102" s="3"/>
    </row>
    <row r="7103" spans="2:2">
      <c r="B7103" s="3"/>
    </row>
    <row r="7104" spans="2:2">
      <c r="B7104" s="3"/>
    </row>
    <row r="7105" spans="2:2">
      <c r="B7105" s="3"/>
    </row>
    <row r="7106" spans="2:2">
      <c r="B7106" s="3"/>
    </row>
    <row r="7107" spans="2:2">
      <c r="B7107" s="3"/>
    </row>
    <row r="7108" spans="2:2">
      <c r="B7108" s="3"/>
    </row>
    <row r="7109" spans="2:2">
      <c r="B7109" s="3"/>
    </row>
    <row r="7110" spans="2:2">
      <c r="B7110" s="3"/>
    </row>
    <row r="7111" spans="2:2">
      <c r="B7111" s="3"/>
    </row>
    <row r="7112" spans="2:2">
      <c r="B7112" s="3"/>
    </row>
    <row r="7113" spans="2:2">
      <c r="B7113" s="3"/>
    </row>
    <row r="7114" spans="2:2">
      <c r="B7114" s="3"/>
    </row>
    <row r="7115" spans="2:2">
      <c r="B7115" s="3"/>
    </row>
    <row r="7116" spans="2:2">
      <c r="B7116" s="3"/>
    </row>
    <row r="7117" spans="2:2">
      <c r="B7117" s="3"/>
    </row>
    <row r="7118" spans="2:2">
      <c r="B7118" s="3"/>
    </row>
    <row r="7119" spans="2:2">
      <c r="B7119" s="3"/>
    </row>
    <row r="7120" spans="2:2">
      <c r="B7120" s="3"/>
    </row>
    <row r="7121" spans="2:2">
      <c r="B7121" s="3"/>
    </row>
    <row r="7122" spans="2:2">
      <c r="B7122" s="3"/>
    </row>
    <row r="7123" spans="2:2">
      <c r="B7123" s="3"/>
    </row>
    <row r="7124" spans="2:2">
      <c r="B7124" s="3"/>
    </row>
    <row r="7125" spans="2:2">
      <c r="B7125" s="3"/>
    </row>
    <row r="7126" spans="2:2">
      <c r="B7126" s="3"/>
    </row>
    <row r="7127" spans="2:2">
      <c r="B7127" s="3"/>
    </row>
    <row r="7128" spans="2:2">
      <c r="B7128" s="3"/>
    </row>
    <row r="7129" spans="2:2">
      <c r="B7129" s="3"/>
    </row>
    <row r="7130" spans="2:2">
      <c r="B7130" s="3"/>
    </row>
    <row r="7131" spans="2:2">
      <c r="B7131" s="3"/>
    </row>
    <row r="7132" spans="2:2">
      <c r="B7132" s="3"/>
    </row>
    <row r="7133" spans="2:2">
      <c r="B7133" s="3"/>
    </row>
    <row r="7134" spans="2:2">
      <c r="B7134" s="3"/>
    </row>
    <row r="7135" spans="2:2">
      <c r="B7135" s="3"/>
    </row>
    <row r="7136" spans="2:2">
      <c r="B7136" s="3"/>
    </row>
    <row r="7137" spans="2:2">
      <c r="B7137" s="3"/>
    </row>
    <row r="7138" spans="2:2">
      <c r="B7138" s="3"/>
    </row>
    <row r="7139" spans="2:2">
      <c r="B7139" s="3"/>
    </row>
    <row r="7140" spans="2:2">
      <c r="B7140" s="3"/>
    </row>
    <row r="7141" spans="2:2">
      <c r="B7141" s="3"/>
    </row>
    <row r="7142" spans="2:2">
      <c r="B7142" s="3"/>
    </row>
    <row r="7143" spans="2:2">
      <c r="B7143" s="3"/>
    </row>
    <row r="7144" spans="2:2">
      <c r="B7144" s="3"/>
    </row>
    <row r="7145" spans="2:2">
      <c r="B7145" s="3"/>
    </row>
    <row r="7146" spans="2:2">
      <c r="B7146" s="3"/>
    </row>
    <row r="7147" spans="2:2">
      <c r="B7147" s="3"/>
    </row>
    <row r="7148" spans="2:2">
      <c r="B7148" s="3"/>
    </row>
    <row r="7149" spans="2:2">
      <c r="B7149" s="3"/>
    </row>
    <row r="7150" spans="2:2">
      <c r="B7150" s="3"/>
    </row>
    <row r="7151" spans="2:2">
      <c r="B7151" s="3"/>
    </row>
    <row r="7152" spans="2:2">
      <c r="B7152" s="3"/>
    </row>
    <row r="7153" spans="2:2">
      <c r="B7153" s="3"/>
    </row>
    <row r="7154" spans="2:2">
      <c r="B7154" s="3"/>
    </row>
    <row r="7155" spans="2:2">
      <c r="B7155" s="3"/>
    </row>
    <row r="7156" spans="2:2">
      <c r="B7156" s="3"/>
    </row>
    <row r="7157" spans="2:2">
      <c r="B7157" s="3"/>
    </row>
    <row r="7158" spans="2:2">
      <c r="B7158" s="3"/>
    </row>
    <row r="7159" spans="2:2">
      <c r="B7159" s="3"/>
    </row>
    <row r="7160" spans="2:2">
      <c r="B7160" s="3"/>
    </row>
    <row r="7161" spans="2:2">
      <c r="B7161" s="3"/>
    </row>
    <row r="7162" spans="2:2">
      <c r="B7162" s="3"/>
    </row>
    <row r="7163" spans="2:2">
      <c r="B7163" s="3"/>
    </row>
    <row r="7164" spans="2:2">
      <c r="B7164" s="3"/>
    </row>
    <row r="7165" spans="2:2">
      <c r="B7165" s="3"/>
    </row>
    <row r="7166" spans="2:2">
      <c r="B7166" s="3"/>
    </row>
    <row r="7167" spans="2:2">
      <c r="B7167" s="3"/>
    </row>
    <row r="7168" spans="2:2">
      <c r="B7168" s="3"/>
    </row>
    <row r="7169" spans="2:2">
      <c r="B7169" s="3"/>
    </row>
    <row r="7170" spans="2:2">
      <c r="B7170" s="3"/>
    </row>
    <row r="7171" spans="2:2">
      <c r="B7171" s="3"/>
    </row>
    <row r="7172" spans="2:2">
      <c r="B7172" s="3"/>
    </row>
    <row r="7173" spans="2:2">
      <c r="B7173" s="3"/>
    </row>
    <row r="7174" spans="2:2">
      <c r="B7174" s="3"/>
    </row>
    <row r="7175" spans="2:2">
      <c r="B7175" s="3"/>
    </row>
    <row r="7176" spans="2:2">
      <c r="B7176" s="3"/>
    </row>
    <row r="7177" spans="2:2">
      <c r="B7177" s="3"/>
    </row>
    <row r="7178" spans="2:2">
      <c r="B7178" s="3"/>
    </row>
    <row r="7179" spans="2:2">
      <c r="B7179" s="3"/>
    </row>
    <row r="7180" spans="2:2">
      <c r="B7180" s="3"/>
    </row>
    <row r="7181" spans="2:2">
      <c r="B7181" s="3"/>
    </row>
    <row r="7182" spans="2:2">
      <c r="B7182" s="3"/>
    </row>
    <row r="7183" spans="2:2">
      <c r="B7183" s="3"/>
    </row>
    <row r="7184" spans="2:2">
      <c r="B7184" s="3"/>
    </row>
    <row r="7185" spans="2:2">
      <c r="B7185" s="3"/>
    </row>
    <row r="7186" spans="2:2">
      <c r="B7186" s="3"/>
    </row>
    <row r="7187" spans="2:2">
      <c r="B7187" s="3"/>
    </row>
    <row r="7188" spans="2:2">
      <c r="B7188" s="3"/>
    </row>
    <row r="7189" spans="2:2">
      <c r="B7189" s="3"/>
    </row>
    <row r="7190" spans="2:2">
      <c r="B7190" s="3"/>
    </row>
    <row r="7191" spans="2:2">
      <c r="B7191" s="3"/>
    </row>
    <row r="7192" spans="2:2">
      <c r="B7192" s="3"/>
    </row>
    <row r="7193" spans="2:2">
      <c r="B7193" s="3"/>
    </row>
    <row r="7194" spans="2:2">
      <c r="B7194" s="3"/>
    </row>
    <row r="7195" spans="2:2">
      <c r="B7195" s="3"/>
    </row>
    <row r="7196" spans="2:2">
      <c r="B7196" s="3"/>
    </row>
    <row r="7197" spans="2:2">
      <c r="B7197" s="3"/>
    </row>
    <row r="7198" spans="2:2">
      <c r="B7198" s="3"/>
    </row>
    <row r="7199" spans="2:2">
      <c r="B7199" s="3"/>
    </row>
    <row r="7200" spans="2:2">
      <c r="B7200" s="3"/>
    </row>
    <row r="7201" spans="2:2">
      <c r="B7201" s="3"/>
    </row>
    <row r="7202" spans="2:2">
      <c r="B7202" s="3"/>
    </row>
    <row r="7203" spans="2:2">
      <c r="B7203" s="3"/>
    </row>
    <row r="7204" spans="2:2">
      <c r="B7204" s="3"/>
    </row>
    <row r="7205" spans="2:2">
      <c r="B7205" s="3"/>
    </row>
    <row r="7206" spans="2:2">
      <c r="B7206" s="3"/>
    </row>
    <row r="7207" spans="2:2">
      <c r="B7207" s="3"/>
    </row>
    <row r="7208" spans="2:2">
      <c r="B7208" s="3"/>
    </row>
    <row r="7209" spans="2:2">
      <c r="B7209" s="3"/>
    </row>
    <row r="7210" spans="2:2">
      <c r="B7210" s="3"/>
    </row>
    <row r="7211" spans="2:2">
      <c r="B7211" s="3"/>
    </row>
    <row r="7212" spans="2:2">
      <c r="B7212" s="3"/>
    </row>
    <row r="7213" spans="2:2">
      <c r="B7213" s="3"/>
    </row>
    <row r="7214" spans="2:2">
      <c r="B7214" s="3"/>
    </row>
    <row r="7215" spans="2:2">
      <c r="B7215" s="3"/>
    </row>
    <row r="7216" spans="2:2">
      <c r="B7216" s="3"/>
    </row>
    <row r="7217" spans="2:2">
      <c r="B7217" s="3"/>
    </row>
    <row r="7218" spans="2:2">
      <c r="B7218" s="3"/>
    </row>
    <row r="7219" spans="2:2">
      <c r="B7219" s="3"/>
    </row>
    <row r="7220" spans="2:2">
      <c r="B7220" s="3"/>
    </row>
    <row r="7221" spans="2:2">
      <c r="B7221" s="3"/>
    </row>
    <row r="7222" spans="2:2">
      <c r="B7222" s="3"/>
    </row>
    <row r="7223" spans="2:2">
      <c r="B7223" s="3"/>
    </row>
    <row r="7224" spans="2:2">
      <c r="B7224" s="3"/>
    </row>
    <row r="7225" spans="2:2">
      <c r="B7225" s="3"/>
    </row>
    <row r="7226" spans="2:2">
      <c r="B7226" s="3"/>
    </row>
    <row r="7227" spans="2:2">
      <c r="B7227" s="3"/>
    </row>
    <row r="7228" spans="2:2">
      <c r="B7228" s="3"/>
    </row>
    <row r="7229" spans="2:2">
      <c r="B7229" s="3"/>
    </row>
    <row r="7230" spans="2:2">
      <c r="B7230" s="3"/>
    </row>
    <row r="7231" spans="2:2">
      <c r="B7231" s="3"/>
    </row>
    <row r="7232" spans="2:2">
      <c r="B7232" s="3"/>
    </row>
    <row r="7233" spans="2:2">
      <c r="B7233" s="3"/>
    </row>
    <row r="7234" spans="2:2">
      <c r="B7234" s="3"/>
    </row>
    <row r="7235" spans="2:2">
      <c r="B7235" s="3"/>
    </row>
    <row r="7236" spans="2:2">
      <c r="B7236" s="3"/>
    </row>
    <row r="7237" spans="2:2">
      <c r="B7237" s="3"/>
    </row>
    <row r="7238" spans="2:2">
      <c r="B7238" s="3"/>
    </row>
    <row r="7239" spans="2:2">
      <c r="B7239" s="3"/>
    </row>
    <row r="7240" spans="2:2">
      <c r="B7240" s="3"/>
    </row>
    <row r="7241" spans="2:2">
      <c r="B7241" s="3"/>
    </row>
    <row r="7242" spans="2:2">
      <c r="B7242" s="3"/>
    </row>
    <row r="7243" spans="2:2">
      <c r="B7243" s="3"/>
    </row>
    <row r="7244" spans="2:2">
      <c r="B7244" s="3"/>
    </row>
    <row r="7245" spans="2:2">
      <c r="B7245" s="3"/>
    </row>
    <row r="7246" spans="2:2">
      <c r="B7246" s="3"/>
    </row>
    <row r="7247" spans="2:2">
      <c r="B7247" s="3"/>
    </row>
    <row r="7248" spans="2:2">
      <c r="B7248" s="3"/>
    </row>
    <row r="7249" spans="2:2">
      <c r="B7249" s="3"/>
    </row>
    <row r="7250" spans="2:2">
      <c r="B7250" s="3"/>
    </row>
    <row r="7251" spans="2:2">
      <c r="B7251" s="3"/>
    </row>
    <row r="7252" spans="2:2">
      <c r="B7252" s="3"/>
    </row>
    <row r="7253" spans="2:2">
      <c r="B7253" s="3"/>
    </row>
    <row r="7254" spans="2:2">
      <c r="B7254" s="3"/>
    </row>
    <row r="7255" spans="2:2">
      <c r="B7255" s="3"/>
    </row>
    <row r="7256" spans="2:2">
      <c r="B7256" s="3"/>
    </row>
    <row r="7257" spans="2:2">
      <c r="B7257" s="3"/>
    </row>
    <row r="7258" spans="2:2">
      <c r="B7258" s="3"/>
    </row>
    <row r="7259" spans="2:2">
      <c r="B7259" s="3"/>
    </row>
    <row r="7260" spans="2:2">
      <c r="B7260" s="3"/>
    </row>
    <row r="7261" spans="2:2">
      <c r="B7261" s="3"/>
    </row>
    <row r="7262" spans="2:2">
      <c r="B7262" s="3"/>
    </row>
    <row r="7263" spans="2:2">
      <c r="B7263" s="3"/>
    </row>
    <row r="7264" spans="2:2">
      <c r="B7264" s="3"/>
    </row>
    <row r="7265" spans="2:2">
      <c r="B7265" s="3"/>
    </row>
    <row r="7266" spans="2:2">
      <c r="B7266" s="3"/>
    </row>
    <row r="7267" spans="2:2">
      <c r="B7267" s="3"/>
    </row>
    <row r="7268" spans="2:2">
      <c r="B7268" s="3"/>
    </row>
    <row r="7269" spans="2:2">
      <c r="B7269" s="3"/>
    </row>
    <row r="7270" spans="2:2">
      <c r="B7270" s="3"/>
    </row>
    <row r="7271" spans="2:2">
      <c r="B7271" s="3"/>
    </row>
    <row r="7272" spans="2:2">
      <c r="B7272" s="3"/>
    </row>
    <row r="7273" spans="2:2">
      <c r="B7273" s="3"/>
    </row>
    <row r="7274" spans="2:2">
      <c r="B7274" s="3"/>
    </row>
    <row r="7275" spans="2:2">
      <c r="B7275" s="3"/>
    </row>
    <row r="7276" spans="2:2">
      <c r="B7276" s="3"/>
    </row>
    <row r="7277" spans="2:2">
      <c r="B7277" s="3"/>
    </row>
    <row r="7278" spans="2:2">
      <c r="B7278" s="3"/>
    </row>
    <row r="7279" spans="2:2">
      <c r="B7279" s="3"/>
    </row>
    <row r="7280" spans="2:2">
      <c r="B7280" s="3"/>
    </row>
    <row r="7281" spans="2:2">
      <c r="B7281" s="3"/>
    </row>
    <row r="7282" spans="2:2">
      <c r="B7282" s="3"/>
    </row>
    <row r="7283" spans="2:2">
      <c r="B7283" s="3"/>
    </row>
    <row r="7284" spans="2:2">
      <c r="B7284" s="3"/>
    </row>
    <row r="7285" spans="2:2">
      <c r="B7285" s="3"/>
    </row>
    <row r="7286" spans="2:2">
      <c r="B7286" s="3"/>
    </row>
    <row r="7287" spans="2:2">
      <c r="B7287" s="3"/>
    </row>
    <row r="7288" spans="2:2">
      <c r="B7288" s="3"/>
    </row>
    <row r="7289" spans="2:2">
      <c r="B7289" s="3"/>
    </row>
    <row r="7290" spans="2:2">
      <c r="B7290" s="3"/>
    </row>
    <row r="7291" spans="2:2">
      <c r="B7291" s="3"/>
    </row>
    <row r="7292" spans="2:2">
      <c r="B7292" s="3"/>
    </row>
    <row r="7293" spans="2:2">
      <c r="B7293" s="3"/>
    </row>
    <row r="7294" spans="2:2">
      <c r="B7294" s="3"/>
    </row>
    <row r="7295" spans="2:2">
      <c r="B7295" s="3"/>
    </row>
    <row r="7296" spans="2:2">
      <c r="B7296" s="3"/>
    </row>
    <row r="7297" spans="2:2">
      <c r="B7297" s="3"/>
    </row>
    <row r="7298" spans="2:2">
      <c r="B7298" s="3"/>
    </row>
    <row r="7299" spans="2:2">
      <c r="B7299" s="3"/>
    </row>
    <row r="7300" spans="2:2">
      <c r="B7300" s="3"/>
    </row>
    <row r="7301" spans="2:2">
      <c r="B7301" s="3"/>
    </row>
    <row r="7302" spans="2:2">
      <c r="B7302" s="3"/>
    </row>
    <row r="7303" spans="2:2">
      <c r="B7303" s="3"/>
    </row>
    <row r="7304" spans="2:2">
      <c r="B7304" s="3"/>
    </row>
    <row r="7305" spans="2:2">
      <c r="B7305" s="3"/>
    </row>
    <row r="7306" spans="2:2">
      <c r="B7306" s="3"/>
    </row>
    <row r="7307" spans="2:2">
      <c r="B7307" s="3"/>
    </row>
    <row r="7308" spans="2:2">
      <c r="B7308" s="3"/>
    </row>
    <row r="7309" spans="2:2">
      <c r="B7309" s="3"/>
    </row>
    <row r="7310" spans="2:2">
      <c r="B7310" s="3"/>
    </row>
    <row r="7311" spans="2:2">
      <c r="B7311" s="3"/>
    </row>
    <row r="7312" spans="2:2">
      <c r="B7312" s="3"/>
    </row>
    <row r="7313" spans="2:2">
      <c r="B7313" s="3"/>
    </row>
    <row r="7314" spans="2:2">
      <c r="B7314" s="3"/>
    </row>
    <row r="7315" spans="2:2">
      <c r="B7315" s="3"/>
    </row>
    <row r="7316" spans="2:2">
      <c r="B7316" s="3"/>
    </row>
    <row r="7317" spans="2:2">
      <c r="B7317" s="3"/>
    </row>
    <row r="7318" spans="2:2">
      <c r="B7318" s="3"/>
    </row>
    <row r="7319" spans="2:2">
      <c r="B7319" s="3"/>
    </row>
    <row r="7320" spans="2:2">
      <c r="B7320" s="3"/>
    </row>
    <row r="7321" spans="2:2">
      <c r="B7321" s="3"/>
    </row>
    <row r="7322" spans="2:2">
      <c r="B7322" s="3"/>
    </row>
    <row r="7323" spans="2:2">
      <c r="B7323" s="3"/>
    </row>
    <row r="7324" spans="2:2">
      <c r="B7324" s="3"/>
    </row>
    <row r="7325" spans="2:2">
      <c r="B7325" s="3"/>
    </row>
    <row r="7326" spans="2:2">
      <c r="B7326" s="3"/>
    </row>
    <row r="7327" spans="2:2">
      <c r="B7327" s="3"/>
    </row>
    <row r="7328" spans="2:2">
      <c r="B7328" s="3"/>
    </row>
    <row r="7329" spans="2:2">
      <c r="B7329" s="3"/>
    </row>
    <row r="7330" spans="2:2">
      <c r="B7330" s="3"/>
    </row>
    <row r="7331" spans="2:2">
      <c r="B7331" s="3"/>
    </row>
    <row r="7332" spans="2:2">
      <c r="B7332" s="3"/>
    </row>
    <row r="7333" spans="2:2">
      <c r="B7333" s="3"/>
    </row>
    <row r="7334" spans="2:2">
      <c r="B7334" s="3"/>
    </row>
    <row r="7335" spans="2:2">
      <c r="B7335" s="3"/>
    </row>
    <row r="7336" spans="2:2">
      <c r="B7336" s="3"/>
    </row>
    <row r="7337" spans="2:2">
      <c r="B7337" s="3"/>
    </row>
    <row r="7338" spans="2:2">
      <c r="B7338" s="3"/>
    </row>
    <row r="7339" spans="2:2">
      <c r="B7339" s="3"/>
    </row>
    <row r="7340" spans="2:2">
      <c r="B7340" s="3"/>
    </row>
    <row r="7341" spans="2:2">
      <c r="B7341" s="3"/>
    </row>
    <row r="7342" spans="2:2">
      <c r="B7342" s="3"/>
    </row>
    <row r="7343" spans="2:2">
      <c r="B7343" s="3"/>
    </row>
    <row r="7344" spans="2:2">
      <c r="B7344" s="3"/>
    </row>
    <row r="7345" spans="2:2">
      <c r="B7345" s="3"/>
    </row>
    <row r="7346" spans="2:2">
      <c r="B7346" s="3"/>
    </row>
    <row r="7347" spans="2:2">
      <c r="B7347" s="3"/>
    </row>
    <row r="7348" spans="2:2">
      <c r="B7348" s="3"/>
    </row>
    <row r="7349" spans="2:2">
      <c r="B7349" s="3"/>
    </row>
    <row r="7350" spans="2:2">
      <c r="B7350" s="3"/>
    </row>
    <row r="7351" spans="2:2">
      <c r="B7351" s="3"/>
    </row>
    <row r="7352" spans="2:2">
      <c r="B7352" s="3"/>
    </row>
    <row r="7353" spans="2:2">
      <c r="B7353" s="3"/>
    </row>
    <row r="7354" spans="2:2">
      <c r="B7354" s="3"/>
    </row>
    <row r="7355" spans="2:2">
      <c r="B7355" s="3"/>
    </row>
    <row r="7356" spans="2:2">
      <c r="B7356" s="3"/>
    </row>
    <row r="7357" spans="2:2">
      <c r="B7357" s="3"/>
    </row>
    <row r="7358" spans="2:2">
      <c r="B7358" s="3"/>
    </row>
    <row r="7359" spans="2:2">
      <c r="B7359" s="3"/>
    </row>
    <row r="7360" spans="2:2">
      <c r="B7360" s="3"/>
    </row>
    <row r="7361" spans="2:2">
      <c r="B7361" s="3"/>
    </row>
    <row r="7362" spans="2:2">
      <c r="B7362" s="3"/>
    </row>
    <row r="7363" spans="2:2">
      <c r="B7363" s="3"/>
    </row>
    <row r="7364" spans="2:2">
      <c r="B7364" s="3"/>
    </row>
    <row r="7365" spans="2:2">
      <c r="B7365" s="3"/>
    </row>
    <row r="7366" spans="2:2">
      <c r="B7366" s="3"/>
    </row>
    <row r="7367" spans="2:2">
      <c r="B7367" s="3"/>
    </row>
    <row r="7368" spans="2:2">
      <c r="B7368" s="3"/>
    </row>
    <row r="7369" spans="2:2">
      <c r="B7369" s="3"/>
    </row>
    <row r="7370" spans="2:2">
      <c r="B7370" s="3"/>
    </row>
    <row r="7371" spans="2:2">
      <c r="B7371" s="3"/>
    </row>
    <row r="7372" spans="2:2">
      <c r="B7372" s="3"/>
    </row>
    <row r="7373" spans="2:2">
      <c r="B7373" s="3"/>
    </row>
    <row r="7374" spans="2:2">
      <c r="B7374" s="3"/>
    </row>
    <row r="7375" spans="2:2">
      <c r="B7375" s="3"/>
    </row>
    <row r="7376" spans="2:2">
      <c r="B7376" s="3"/>
    </row>
    <row r="7377" spans="2:2">
      <c r="B7377" s="3"/>
    </row>
    <row r="7378" spans="2:2">
      <c r="B7378" s="3"/>
    </row>
    <row r="7379" spans="2:2">
      <c r="B7379" s="3"/>
    </row>
    <row r="7380" spans="2:2">
      <c r="B7380" s="3"/>
    </row>
    <row r="7381" spans="2:2">
      <c r="B7381" s="3"/>
    </row>
    <row r="7382" spans="2:2">
      <c r="B7382" s="3"/>
    </row>
    <row r="7383" spans="2:2">
      <c r="B7383" s="3"/>
    </row>
    <row r="7384" spans="2:2">
      <c r="B7384" s="3"/>
    </row>
    <row r="7385" spans="2:2">
      <c r="B7385" s="3"/>
    </row>
    <row r="7386" spans="2:2">
      <c r="B7386" s="3"/>
    </row>
    <row r="7387" spans="2:2">
      <c r="B7387" s="3"/>
    </row>
    <row r="7388" spans="2:2">
      <c r="B7388" s="3"/>
    </row>
    <row r="7389" spans="2:2">
      <c r="B7389" s="3"/>
    </row>
    <row r="7390" spans="2:2">
      <c r="B7390" s="3"/>
    </row>
    <row r="7391" spans="2:2">
      <c r="B7391" s="3"/>
    </row>
    <row r="7392" spans="2:2">
      <c r="B7392" s="3"/>
    </row>
    <row r="7393" spans="2:2">
      <c r="B7393" s="3"/>
    </row>
    <row r="7394" spans="2:2">
      <c r="B7394" s="3"/>
    </row>
    <row r="7395" spans="2:2">
      <c r="B7395" s="3"/>
    </row>
    <row r="7396" spans="2:2">
      <c r="B7396" s="3"/>
    </row>
    <row r="7397" spans="2:2">
      <c r="B7397" s="3"/>
    </row>
    <row r="7398" spans="2:2">
      <c r="B7398" s="3"/>
    </row>
    <row r="7399" spans="2:2">
      <c r="B7399" s="3"/>
    </row>
    <row r="7400" spans="2:2">
      <c r="B7400" s="3"/>
    </row>
    <row r="7401" spans="2:2">
      <c r="B7401" s="3"/>
    </row>
    <row r="7402" spans="2:2">
      <c r="B7402" s="3"/>
    </row>
    <row r="7403" spans="2:2">
      <c r="B7403" s="3"/>
    </row>
    <row r="7404" spans="2:2">
      <c r="B7404" s="3"/>
    </row>
    <row r="7405" spans="2:2">
      <c r="B7405" s="3"/>
    </row>
    <row r="7406" spans="2:2">
      <c r="B7406" s="3"/>
    </row>
    <row r="7407" spans="2:2">
      <c r="B7407" s="3"/>
    </row>
    <row r="7408" spans="2:2">
      <c r="B7408" s="3"/>
    </row>
    <row r="7409" spans="2:2">
      <c r="B7409" s="3"/>
    </row>
    <row r="7410" spans="2:2">
      <c r="B7410" s="3"/>
    </row>
    <row r="7411" spans="2:2">
      <c r="B7411" s="3"/>
    </row>
    <row r="7412" spans="2:2">
      <c r="B7412" s="3"/>
    </row>
    <row r="7413" spans="2:2">
      <c r="B7413" s="3"/>
    </row>
    <row r="7414" spans="2:2">
      <c r="B7414" s="3"/>
    </row>
    <row r="7415" spans="2:2">
      <c r="B7415" s="3"/>
    </row>
    <row r="7416" spans="2:2">
      <c r="B7416" s="3"/>
    </row>
    <row r="7417" spans="2:2">
      <c r="B7417" s="3"/>
    </row>
    <row r="7418" spans="2:2">
      <c r="B7418" s="3"/>
    </row>
    <row r="7419" spans="2:2">
      <c r="B7419" s="3"/>
    </row>
    <row r="7420" spans="2:2">
      <c r="B7420" s="3"/>
    </row>
    <row r="7421" spans="2:2">
      <c r="B7421" s="3"/>
    </row>
    <row r="7422" spans="2:2">
      <c r="B7422" s="3"/>
    </row>
    <row r="7423" spans="2:2">
      <c r="B7423" s="3"/>
    </row>
    <row r="7424" spans="2:2">
      <c r="B7424" s="3"/>
    </row>
    <row r="7425" spans="2:2">
      <c r="B7425" s="3"/>
    </row>
    <row r="7426" spans="2:2">
      <c r="B7426" s="3"/>
    </row>
    <row r="7427" spans="2:2">
      <c r="B7427" s="3"/>
    </row>
    <row r="7428" spans="2:2">
      <c r="B7428" s="3"/>
    </row>
    <row r="7429" spans="2:2">
      <c r="B7429" s="3"/>
    </row>
    <row r="7430" spans="2:2">
      <c r="B7430" s="3"/>
    </row>
    <row r="7431" spans="2:2">
      <c r="B7431" s="3"/>
    </row>
    <row r="7432" spans="2:2">
      <c r="B7432" s="3"/>
    </row>
    <row r="7433" spans="2:2">
      <c r="B7433" s="3"/>
    </row>
    <row r="7434" spans="2:2">
      <c r="B7434" s="3"/>
    </row>
    <row r="7435" spans="2:2">
      <c r="B7435" s="3"/>
    </row>
    <row r="7436" spans="2:2">
      <c r="B7436" s="3"/>
    </row>
    <row r="7437" spans="2:2">
      <c r="B7437" s="3"/>
    </row>
    <row r="7438" spans="2:2">
      <c r="B7438" s="3"/>
    </row>
    <row r="7439" spans="2:2">
      <c r="B7439" s="3"/>
    </row>
    <row r="7440" spans="2:2">
      <c r="B7440" s="3"/>
    </row>
    <row r="7441" spans="2:2">
      <c r="B7441" s="3"/>
    </row>
    <row r="7442" spans="2:2">
      <c r="B7442" s="3"/>
    </row>
    <row r="7443" spans="2:2">
      <c r="B7443" s="3"/>
    </row>
    <row r="7444" spans="2:2">
      <c r="B7444" s="3"/>
    </row>
    <row r="7445" spans="2:2">
      <c r="B7445" s="3"/>
    </row>
    <row r="7446" spans="2:2">
      <c r="B7446" s="3"/>
    </row>
    <row r="7447" spans="2:2">
      <c r="B7447" s="3"/>
    </row>
    <row r="7448" spans="2:2">
      <c r="B7448" s="3"/>
    </row>
    <row r="7449" spans="2:2">
      <c r="B7449" s="3"/>
    </row>
    <row r="7450" spans="2:2">
      <c r="B7450" s="3"/>
    </row>
    <row r="7451" spans="2:2">
      <c r="B7451" s="3"/>
    </row>
    <row r="7452" spans="2:2">
      <c r="B7452" s="3"/>
    </row>
    <row r="7453" spans="2:2">
      <c r="B7453" s="3"/>
    </row>
    <row r="7454" spans="2:2">
      <c r="B7454" s="3"/>
    </row>
    <row r="7455" spans="2:2">
      <c r="B7455" s="3"/>
    </row>
    <row r="7456" spans="2:2">
      <c r="B7456" s="3"/>
    </row>
    <row r="7457" spans="2:2">
      <c r="B7457" s="3"/>
    </row>
    <row r="7458" spans="2:2">
      <c r="B7458" s="3"/>
    </row>
    <row r="7459" spans="2:2">
      <c r="B7459" s="3"/>
    </row>
    <row r="7460" spans="2:2">
      <c r="B7460" s="3"/>
    </row>
    <row r="7461" spans="2:2">
      <c r="B7461" s="3"/>
    </row>
    <row r="7462" spans="2:2">
      <c r="B7462" s="3"/>
    </row>
    <row r="7463" spans="2:2">
      <c r="B7463" s="3"/>
    </row>
    <row r="7464" spans="2:2">
      <c r="B7464" s="3"/>
    </row>
    <row r="7465" spans="2:2">
      <c r="B7465" s="3"/>
    </row>
    <row r="7466" spans="2:2">
      <c r="B7466" s="3"/>
    </row>
    <row r="7467" spans="2:2">
      <c r="B7467" s="3"/>
    </row>
    <row r="7468" spans="2:2">
      <c r="B7468" s="3"/>
    </row>
    <row r="7469" spans="2:2">
      <c r="B7469" s="3"/>
    </row>
    <row r="7470" spans="2:2">
      <c r="B7470" s="3"/>
    </row>
    <row r="7471" spans="2:2">
      <c r="B7471" s="3"/>
    </row>
    <row r="7472" spans="2:2">
      <c r="B7472" s="3"/>
    </row>
    <row r="7473" spans="2:2">
      <c r="B7473" s="3"/>
    </row>
    <row r="7474" spans="2:2">
      <c r="B7474" s="3"/>
    </row>
    <row r="7475" spans="2:2">
      <c r="B7475" s="3"/>
    </row>
    <row r="7476" spans="2:2">
      <c r="B7476" s="3"/>
    </row>
    <row r="7477" spans="2:2">
      <c r="B7477" s="3"/>
    </row>
    <row r="7478" spans="2:2">
      <c r="B7478" s="3"/>
    </row>
    <row r="7479" spans="2:2">
      <c r="B7479" s="3"/>
    </row>
    <row r="7480" spans="2:2">
      <c r="B7480" s="3"/>
    </row>
    <row r="7481" spans="2:2">
      <c r="B7481" s="3"/>
    </row>
    <row r="7482" spans="2:2">
      <c r="B7482" s="3"/>
    </row>
    <row r="7483" spans="2:2">
      <c r="B7483" s="3"/>
    </row>
    <row r="7484" spans="2:2">
      <c r="B7484" s="3"/>
    </row>
    <row r="7485" spans="2:2">
      <c r="B7485" s="3"/>
    </row>
    <row r="7486" spans="2:2">
      <c r="B7486" s="3"/>
    </row>
    <row r="7487" spans="2:2">
      <c r="B7487" s="3"/>
    </row>
    <row r="7488" spans="2:2">
      <c r="B7488" s="3"/>
    </row>
    <row r="7489" spans="2:2">
      <c r="B7489" s="3"/>
    </row>
    <row r="7490" spans="2:2">
      <c r="B7490" s="3"/>
    </row>
    <row r="7491" spans="2:2">
      <c r="B7491" s="3"/>
    </row>
    <row r="7492" spans="2:2">
      <c r="B7492" s="3"/>
    </row>
    <row r="7493" spans="2:2">
      <c r="B7493" s="3"/>
    </row>
    <row r="7494" spans="2:2">
      <c r="B7494" s="3"/>
    </row>
    <row r="7495" spans="2:2">
      <c r="B7495" s="3"/>
    </row>
    <row r="7496" spans="2:2">
      <c r="B7496" s="3"/>
    </row>
    <row r="7497" spans="2:2">
      <c r="B7497" s="3"/>
    </row>
    <row r="7498" spans="2:2">
      <c r="B7498" s="3"/>
    </row>
    <row r="7499" spans="2:2">
      <c r="B7499" s="3"/>
    </row>
    <row r="7500" spans="2:2">
      <c r="B7500" s="3"/>
    </row>
    <row r="7501" spans="2:2">
      <c r="B7501" s="3"/>
    </row>
    <row r="7502" spans="2:2">
      <c r="B7502" s="3"/>
    </row>
    <row r="7503" spans="2:2">
      <c r="B7503" s="3"/>
    </row>
    <row r="7504" spans="2:2">
      <c r="B7504" s="3"/>
    </row>
    <row r="7505" spans="2:2">
      <c r="B7505" s="3"/>
    </row>
    <row r="7506" spans="2:2">
      <c r="B7506" s="3"/>
    </row>
    <row r="7507" spans="2:2">
      <c r="B7507" s="3"/>
    </row>
    <row r="7508" spans="2:2">
      <c r="B7508" s="3"/>
    </row>
    <row r="7509" spans="2:2">
      <c r="B7509" s="3"/>
    </row>
    <row r="7510" spans="2:2">
      <c r="B7510" s="3"/>
    </row>
    <row r="7511" spans="2:2">
      <c r="B7511" s="3"/>
    </row>
    <row r="7512" spans="2:2">
      <c r="B7512" s="3"/>
    </row>
    <row r="7513" spans="2:2">
      <c r="B7513" s="3"/>
    </row>
    <row r="7514" spans="2:2">
      <c r="B7514" s="3"/>
    </row>
    <row r="7515" spans="2:2">
      <c r="B7515" s="3"/>
    </row>
    <row r="7516" spans="2:2">
      <c r="B7516" s="3"/>
    </row>
    <row r="7517" spans="2:2">
      <c r="B7517" s="3"/>
    </row>
    <row r="7518" spans="2:2">
      <c r="B7518" s="3"/>
    </row>
    <row r="7519" spans="2:2">
      <c r="B7519" s="3"/>
    </row>
    <row r="7520" spans="2:2">
      <c r="B7520" s="3"/>
    </row>
    <row r="7521" spans="2:2">
      <c r="B7521" s="3"/>
    </row>
    <row r="7522" spans="2:2">
      <c r="B7522" s="3"/>
    </row>
    <row r="7523" spans="2:2">
      <c r="B7523" s="3"/>
    </row>
    <row r="7524" spans="2:2">
      <c r="B7524" s="3"/>
    </row>
    <row r="7525" spans="2:2">
      <c r="B7525" s="3"/>
    </row>
    <row r="7526" spans="2:2">
      <c r="B7526" s="3"/>
    </row>
    <row r="7527" spans="2:2">
      <c r="B7527" s="3"/>
    </row>
    <row r="7528" spans="2:2">
      <c r="B7528" s="3"/>
    </row>
    <row r="7529" spans="2:2">
      <c r="B7529" s="3"/>
    </row>
    <row r="7530" spans="2:2">
      <c r="B7530" s="3"/>
    </row>
    <row r="7531" spans="2:2">
      <c r="B7531" s="3"/>
    </row>
    <row r="7532" spans="2:2">
      <c r="B7532" s="3"/>
    </row>
    <row r="7533" spans="2:2">
      <c r="B7533" s="3"/>
    </row>
    <row r="7534" spans="2:2">
      <c r="B7534" s="3"/>
    </row>
    <row r="7535" spans="2:2">
      <c r="B7535" s="3"/>
    </row>
    <row r="7536" spans="2:2">
      <c r="B7536" s="3"/>
    </row>
    <row r="7537" spans="2:2">
      <c r="B7537" s="3"/>
    </row>
    <row r="7538" spans="2:2">
      <c r="B7538" s="3"/>
    </row>
    <row r="7539" spans="2:2">
      <c r="B7539" s="3"/>
    </row>
    <row r="7540" spans="2:2">
      <c r="B7540" s="3"/>
    </row>
    <row r="7541" spans="2:2">
      <c r="B7541" s="3"/>
    </row>
    <row r="7542" spans="2:2">
      <c r="B7542" s="3"/>
    </row>
    <row r="7543" spans="2:2">
      <c r="B7543" s="3"/>
    </row>
    <row r="7544" spans="2:2">
      <c r="B7544" s="3"/>
    </row>
    <row r="7545" spans="2:2">
      <c r="B7545" s="3"/>
    </row>
    <row r="7546" spans="2:2">
      <c r="B7546" s="3"/>
    </row>
    <row r="7547" spans="2:2">
      <c r="B7547" s="3"/>
    </row>
    <row r="7548" spans="2:2">
      <c r="B7548" s="3"/>
    </row>
    <row r="7549" spans="2:2">
      <c r="B7549" s="3"/>
    </row>
    <row r="7550" spans="2:2">
      <c r="B7550" s="3"/>
    </row>
    <row r="7551" spans="2:2">
      <c r="B7551" s="3"/>
    </row>
    <row r="7552" spans="2:2">
      <c r="B7552" s="3"/>
    </row>
    <row r="7553" spans="2:2">
      <c r="B7553" s="3"/>
    </row>
    <row r="7554" spans="2:2">
      <c r="B7554" s="3"/>
    </row>
    <row r="7555" spans="2:2">
      <c r="B7555" s="3"/>
    </row>
    <row r="7556" spans="2:2">
      <c r="B7556" s="3"/>
    </row>
    <row r="7557" spans="2:2">
      <c r="B7557" s="3"/>
    </row>
    <row r="7558" spans="2:2">
      <c r="B7558" s="3"/>
    </row>
    <row r="7559" spans="2:2">
      <c r="B7559" s="3"/>
    </row>
    <row r="7560" spans="2:2">
      <c r="B7560" s="3"/>
    </row>
    <row r="7561" spans="2:2">
      <c r="B7561" s="3"/>
    </row>
    <row r="7562" spans="2:2">
      <c r="B7562" s="3"/>
    </row>
    <row r="7563" spans="2:2">
      <c r="B7563" s="3"/>
    </row>
    <row r="7564" spans="2:2">
      <c r="B7564" s="3"/>
    </row>
    <row r="7565" spans="2:2">
      <c r="B7565" s="3"/>
    </row>
    <row r="7566" spans="2:2">
      <c r="B7566" s="3"/>
    </row>
    <row r="7567" spans="2:2">
      <c r="B7567" s="3"/>
    </row>
    <row r="7568" spans="2:2">
      <c r="B7568" s="3"/>
    </row>
    <row r="7569" spans="2:2">
      <c r="B7569" s="3"/>
    </row>
    <row r="7570" spans="2:2">
      <c r="B7570" s="3"/>
    </row>
    <row r="7571" spans="2:2">
      <c r="B7571" s="3"/>
    </row>
    <row r="7572" spans="2:2">
      <c r="B7572" s="3"/>
    </row>
    <row r="7573" spans="2:2">
      <c r="B7573" s="3"/>
    </row>
    <row r="7574" spans="2:2">
      <c r="B7574" s="3"/>
    </row>
    <row r="7575" spans="2:2">
      <c r="B7575" s="3"/>
    </row>
    <row r="7576" spans="2:2">
      <c r="B7576" s="3"/>
    </row>
    <row r="7577" spans="2:2">
      <c r="B7577" s="3"/>
    </row>
    <row r="7578" spans="2:2">
      <c r="B7578" s="3"/>
    </row>
    <row r="7579" spans="2:2">
      <c r="B7579" s="3"/>
    </row>
    <row r="7580" spans="2:2">
      <c r="B7580" s="3"/>
    </row>
    <row r="7581" spans="2:2">
      <c r="B7581" s="3"/>
    </row>
    <row r="7582" spans="2:2">
      <c r="B7582" s="3"/>
    </row>
    <row r="7583" spans="2:2">
      <c r="B7583" s="3"/>
    </row>
    <row r="7584" spans="2:2">
      <c r="B7584" s="3"/>
    </row>
    <row r="7585" spans="2:2">
      <c r="B7585" s="3"/>
    </row>
    <row r="7586" spans="2:2">
      <c r="B7586" s="3"/>
    </row>
    <row r="7587" spans="2:2">
      <c r="B7587" s="3"/>
    </row>
    <row r="7588" spans="2:2">
      <c r="B7588" s="3"/>
    </row>
    <row r="7589" spans="2:2">
      <c r="B7589" s="3"/>
    </row>
    <row r="7590" spans="2:2">
      <c r="B7590" s="3"/>
    </row>
    <row r="7591" spans="2:2">
      <c r="B7591" s="3"/>
    </row>
    <row r="7592" spans="2:2">
      <c r="B7592" s="3"/>
    </row>
    <row r="7593" spans="2:2">
      <c r="B7593" s="3"/>
    </row>
    <row r="7594" spans="2:2">
      <c r="B7594" s="3"/>
    </row>
    <row r="7595" spans="2:2">
      <c r="B7595" s="3"/>
    </row>
    <row r="7596" spans="2:2">
      <c r="B7596" s="3"/>
    </row>
    <row r="7597" spans="2:2">
      <c r="B7597" s="3"/>
    </row>
    <row r="7598" spans="2:2">
      <c r="B7598" s="3"/>
    </row>
    <row r="7599" spans="2:2">
      <c r="B7599" s="3"/>
    </row>
    <row r="7600" spans="2:2">
      <c r="B7600" s="3"/>
    </row>
    <row r="7601" spans="2:2">
      <c r="B7601" s="3"/>
    </row>
    <row r="7602" spans="2:2">
      <c r="B7602" s="3"/>
    </row>
    <row r="7603" spans="2:2">
      <c r="B7603" s="3"/>
    </row>
    <row r="7604" spans="2:2">
      <c r="B7604" s="3"/>
    </row>
    <row r="7605" spans="2:2">
      <c r="B7605" s="3"/>
    </row>
    <row r="7606" spans="2:2">
      <c r="B7606" s="3"/>
    </row>
    <row r="7607" spans="2:2">
      <c r="B7607" s="3"/>
    </row>
    <row r="7608" spans="2:2">
      <c r="B7608" s="3"/>
    </row>
    <row r="7609" spans="2:2">
      <c r="B7609" s="3"/>
    </row>
    <row r="7610" spans="2:2">
      <c r="B7610" s="3"/>
    </row>
    <row r="7611" spans="2:2">
      <c r="B7611" s="3"/>
    </row>
    <row r="7612" spans="2:2">
      <c r="B7612" s="3"/>
    </row>
    <row r="7613" spans="2:2">
      <c r="B7613" s="3"/>
    </row>
    <row r="7614" spans="2:2">
      <c r="B7614" s="3"/>
    </row>
    <row r="7615" spans="2:2">
      <c r="B7615" s="3"/>
    </row>
    <row r="7616" spans="2:2">
      <c r="B7616" s="3"/>
    </row>
    <row r="7617" spans="2:2">
      <c r="B7617" s="3"/>
    </row>
    <row r="7618" spans="2:2">
      <c r="B7618" s="3"/>
    </row>
    <row r="7619" spans="2:2">
      <c r="B7619" s="3"/>
    </row>
    <row r="7620" spans="2:2">
      <c r="B7620" s="3"/>
    </row>
    <row r="7621" spans="2:2">
      <c r="B7621" s="3"/>
    </row>
    <row r="7622" spans="2:2">
      <c r="B7622" s="3"/>
    </row>
    <row r="7623" spans="2:2">
      <c r="B7623" s="3"/>
    </row>
    <row r="7624" spans="2:2">
      <c r="B7624" s="3"/>
    </row>
    <row r="7625" spans="2:2">
      <c r="B7625" s="3"/>
    </row>
    <row r="7626" spans="2:2">
      <c r="B7626" s="3"/>
    </row>
    <row r="7627" spans="2:2">
      <c r="B7627" s="3"/>
    </row>
    <row r="7628" spans="2:2">
      <c r="B7628" s="3"/>
    </row>
    <row r="7629" spans="2:2">
      <c r="B7629" s="3"/>
    </row>
    <row r="7630" spans="2:2">
      <c r="B7630" s="3"/>
    </row>
    <row r="7631" spans="2:2">
      <c r="B7631" s="3"/>
    </row>
    <row r="7632" spans="2:2">
      <c r="B7632" s="3"/>
    </row>
    <row r="7633" spans="2:2">
      <c r="B7633" s="3"/>
    </row>
    <row r="7634" spans="2:2">
      <c r="B7634" s="3"/>
    </row>
    <row r="7635" spans="2:2">
      <c r="B7635" s="3"/>
    </row>
    <row r="7636" spans="2:2">
      <c r="B7636" s="3"/>
    </row>
    <row r="7637" spans="2:2">
      <c r="B7637" s="3"/>
    </row>
    <row r="7638" spans="2:2">
      <c r="B7638" s="3"/>
    </row>
    <row r="7639" spans="2:2">
      <c r="B7639" s="3"/>
    </row>
    <row r="7640" spans="2:2">
      <c r="B7640" s="3"/>
    </row>
    <row r="7641" spans="2:2">
      <c r="B7641" s="3"/>
    </row>
    <row r="7642" spans="2:2">
      <c r="B7642" s="3"/>
    </row>
    <row r="7643" spans="2:2">
      <c r="B7643" s="3"/>
    </row>
    <row r="7644" spans="2:2">
      <c r="B7644" s="3"/>
    </row>
    <row r="7645" spans="2:2">
      <c r="B7645" s="3"/>
    </row>
    <row r="7646" spans="2:2">
      <c r="B7646" s="3"/>
    </row>
    <row r="7647" spans="2:2">
      <c r="B7647" s="3"/>
    </row>
    <row r="7648" spans="2:2">
      <c r="B7648" s="3"/>
    </row>
    <row r="7649" spans="2:2">
      <c r="B7649" s="3"/>
    </row>
    <row r="7650" spans="2:2">
      <c r="B7650" s="3"/>
    </row>
    <row r="7651" spans="2:2">
      <c r="B7651" s="3"/>
    </row>
    <row r="7652" spans="2:2">
      <c r="B7652" s="3"/>
    </row>
    <row r="7653" spans="2:2">
      <c r="B7653" s="3"/>
    </row>
    <row r="7654" spans="2:2">
      <c r="B7654" s="3"/>
    </row>
    <row r="7655" spans="2:2">
      <c r="B7655" s="3"/>
    </row>
    <row r="7656" spans="2:2">
      <c r="B7656" s="3"/>
    </row>
    <row r="7657" spans="2:2">
      <c r="B7657" s="3"/>
    </row>
    <row r="7658" spans="2:2">
      <c r="B7658" s="3"/>
    </row>
    <row r="7659" spans="2:2">
      <c r="B7659" s="3"/>
    </row>
    <row r="7660" spans="2:2">
      <c r="B7660" s="3"/>
    </row>
    <row r="7661" spans="2:2">
      <c r="B7661" s="3"/>
    </row>
    <row r="7662" spans="2:2">
      <c r="B7662" s="3"/>
    </row>
    <row r="7663" spans="2:2">
      <c r="B7663" s="3"/>
    </row>
    <row r="7664" spans="2:2">
      <c r="B7664" s="3"/>
    </row>
    <row r="7665" spans="2:2">
      <c r="B7665" s="3"/>
    </row>
    <row r="7666" spans="2:2">
      <c r="B7666" s="3"/>
    </row>
    <row r="7667" spans="2:2">
      <c r="B7667" s="3"/>
    </row>
    <row r="7668" spans="2:2">
      <c r="B7668" s="3"/>
    </row>
    <row r="7669" spans="2:2">
      <c r="B7669" s="3"/>
    </row>
    <row r="7670" spans="2:2">
      <c r="B7670" s="3"/>
    </row>
    <row r="7671" spans="2:2">
      <c r="B7671" s="3"/>
    </row>
    <row r="7672" spans="2:2">
      <c r="B7672" s="3"/>
    </row>
    <row r="7673" spans="2:2">
      <c r="B7673" s="3"/>
    </row>
    <row r="7674" spans="2:2">
      <c r="B7674" s="3"/>
    </row>
    <row r="7675" spans="2:2">
      <c r="B7675" s="3"/>
    </row>
    <row r="7676" spans="2:2">
      <c r="B7676" s="3"/>
    </row>
    <row r="7677" spans="2:2">
      <c r="B7677" s="3"/>
    </row>
    <row r="7678" spans="2:2">
      <c r="B7678" s="3"/>
    </row>
    <row r="7679" spans="2:2">
      <c r="B7679" s="3"/>
    </row>
    <row r="7680" spans="2:2">
      <c r="B7680" s="3"/>
    </row>
    <row r="7681" spans="2:2">
      <c r="B7681" s="3"/>
    </row>
    <row r="7682" spans="2:2">
      <c r="B7682" s="3"/>
    </row>
    <row r="7683" spans="2:2">
      <c r="B7683" s="3"/>
    </row>
    <row r="7684" spans="2:2">
      <c r="B7684" s="3"/>
    </row>
    <row r="7685" spans="2:2">
      <c r="B7685" s="3"/>
    </row>
    <row r="7686" spans="2:2">
      <c r="B7686" s="3"/>
    </row>
    <row r="7687" spans="2:2">
      <c r="B7687" s="3"/>
    </row>
    <row r="7688" spans="2:2">
      <c r="B7688" s="3"/>
    </row>
    <row r="7689" spans="2:2">
      <c r="B7689" s="3"/>
    </row>
    <row r="7690" spans="2:2">
      <c r="B7690" s="3"/>
    </row>
    <row r="7691" spans="2:2">
      <c r="B7691" s="3"/>
    </row>
    <row r="7692" spans="2:2">
      <c r="B7692" s="3"/>
    </row>
    <row r="7693" spans="2:2">
      <c r="B7693" s="3"/>
    </row>
    <row r="7694" spans="2:2">
      <c r="B7694" s="3"/>
    </row>
    <row r="7695" spans="2:2">
      <c r="B7695" s="3"/>
    </row>
    <row r="7696" spans="2:2">
      <c r="B7696" s="3"/>
    </row>
    <row r="7697" spans="2:2">
      <c r="B7697" s="3"/>
    </row>
    <row r="7698" spans="2:2">
      <c r="B7698" s="3"/>
    </row>
    <row r="7699" spans="2:2">
      <c r="B7699" s="3"/>
    </row>
    <row r="7700" spans="2:2">
      <c r="B7700" s="3"/>
    </row>
    <row r="7701" spans="2:2">
      <c r="B7701" s="3"/>
    </row>
    <row r="7702" spans="2:2">
      <c r="B7702" s="3"/>
    </row>
    <row r="7703" spans="2:2">
      <c r="B7703" s="3"/>
    </row>
    <row r="7704" spans="2:2">
      <c r="B7704" s="3"/>
    </row>
    <row r="7705" spans="2:2">
      <c r="B7705" s="3"/>
    </row>
    <row r="7706" spans="2:2">
      <c r="B7706" s="3"/>
    </row>
    <row r="7707" spans="2:2">
      <c r="B7707" s="3"/>
    </row>
    <row r="7708" spans="2:2">
      <c r="B7708" s="3"/>
    </row>
    <row r="7709" spans="2:2">
      <c r="B7709" s="3"/>
    </row>
    <row r="7710" spans="2:2">
      <c r="B7710" s="3"/>
    </row>
    <row r="7711" spans="2:2">
      <c r="B7711" s="3"/>
    </row>
    <row r="7712" spans="2:2">
      <c r="B7712" s="3"/>
    </row>
    <row r="7713" spans="2:2">
      <c r="B7713" s="3"/>
    </row>
    <row r="7714" spans="2:2">
      <c r="B7714" s="3"/>
    </row>
    <row r="7715" spans="2:2">
      <c r="B7715" s="3"/>
    </row>
    <row r="7716" spans="2:2">
      <c r="B7716" s="3"/>
    </row>
    <row r="7717" spans="2:2">
      <c r="B7717" s="3"/>
    </row>
    <row r="7718" spans="2:2">
      <c r="B7718" s="3"/>
    </row>
    <row r="7719" spans="2:2">
      <c r="B7719" s="3"/>
    </row>
    <row r="7720" spans="2:2">
      <c r="B7720" s="3"/>
    </row>
    <row r="7721" spans="2:2">
      <c r="B7721" s="3"/>
    </row>
    <row r="7722" spans="2:2">
      <c r="B7722" s="3"/>
    </row>
    <row r="7723" spans="2:2">
      <c r="B7723" s="3"/>
    </row>
    <row r="7724" spans="2:2">
      <c r="B7724" s="3"/>
    </row>
    <row r="7725" spans="2:2">
      <c r="B7725" s="3"/>
    </row>
    <row r="7726" spans="2:2">
      <c r="B7726" s="3"/>
    </row>
    <row r="7727" spans="2:2">
      <c r="B7727" s="3"/>
    </row>
    <row r="7728" spans="2:2">
      <c r="B7728" s="3"/>
    </row>
    <row r="7729" spans="2:2">
      <c r="B7729" s="3"/>
    </row>
    <row r="7730" spans="2:2">
      <c r="B7730" s="3"/>
    </row>
    <row r="7731" spans="2:2">
      <c r="B7731" s="3"/>
    </row>
    <row r="7732" spans="2:2">
      <c r="B7732" s="3"/>
    </row>
    <row r="7733" spans="2:2">
      <c r="B7733" s="3"/>
    </row>
    <row r="7734" spans="2:2">
      <c r="B7734" s="3"/>
    </row>
    <row r="7735" spans="2:2">
      <c r="B7735" s="3"/>
    </row>
    <row r="7736" spans="2:2">
      <c r="B7736" s="3"/>
    </row>
    <row r="7737" spans="2:2">
      <c r="B7737" s="3"/>
    </row>
    <row r="7738" spans="2:2">
      <c r="B7738" s="3"/>
    </row>
    <row r="7739" spans="2:2">
      <c r="B7739" s="3"/>
    </row>
    <row r="7740" spans="2:2">
      <c r="B7740" s="3"/>
    </row>
    <row r="7741" spans="2:2">
      <c r="B7741" s="3"/>
    </row>
    <row r="7742" spans="2:2">
      <c r="B7742" s="3"/>
    </row>
    <row r="7743" spans="2:2">
      <c r="B7743" s="3"/>
    </row>
    <row r="7744" spans="2:2">
      <c r="B7744" s="3"/>
    </row>
    <row r="7745" spans="2:2">
      <c r="B7745" s="3"/>
    </row>
    <row r="7746" spans="2:2">
      <c r="B7746" s="3"/>
    </row>
    <row r="7747" spans="2:2">
      <c r="B7747" s="3"/>
    </row>
    <row r="7748" spans="2:2">
      <c r="B7748" s="3"/>
    </row>
    <row r="7749" spans="2:2">
      <c r="B7749" s="3"/>
    </row>
    <row r="7750" spans="2:2">
      <c r="B7750" s="3"/>
    </row>
    <row r="7751" spans="2:2">
      <c r="B7751" s="3"/>
    </row>
    <row r="7752" spans="2:2">
      <c r="B7752" s="3"/>
    </row>
    <row r="7753" spans="2:2">
      <c r="B7753" s="3"/>
    </row>
    <row r="7754" spans="2:2">
      <c r="B7754" s="3"/>
    </row>
    <row r="7755" spans="2:2">
      <c r="B7755" s="3"/>
    </row>
    <row r="7756" spans="2:2">
      <c r="B7756" s="3"/>
    </row>
    <row r="7757" spans="2:2">
      <c r="B7757" s="3"/>
    </row>
    <row r="7758" spans="2:2">
      <c r="B7758" s="3"/>
    </row>
    <row r="7759" spans="2:2">
      <c r="B7759" s="3"/>
    </row>
    <row r="7760" spans="2:2">
      <c r="B7760" s="3"/>
    </row>
    <row r="7761" spans="2:2">
      <c r="B7761" s="3"/>
    </row>
    <row r="7762" spans="2:2">
      <c r="B7762" s="3"/>
    </row>
    <row r="7763" spans="2:2">
      <c r="B7763" s="3"/>
    </row>
    <row r="7764" spans="2:2">
      <c r="B7764" s="3"/>
    </row>
    <row r="7765" spans="2:2">
      <c r="B7765" s="3"/>
    </row>
    <row r="7766" spans="2:2">
      <c r="B7766" s="3"/>
    </row>
    <row r="7767" spans="2:2">
      <c r="B7767" s="3"/>
    </row>
    <row r="7768" spans="2:2">
      <c r="B7768" s="3"/>
    </row>
    <row r="7769" spans="2:2">
      <c r="B7769" s="3"/>
    </row>
    <row r="7770" spans="2:2">
      <c r="B7770" s="3"/>
    </row>
    <row r="7771" spans="2:2">
      <c r="B7771" s="3"/>
    </row>
    <row r="7772" spans="2:2">
      <c r="B7772" s="3"/>
    </row>
    <row r="7773" spans="2:2">
      <c r="B7773" s="3"/>
    </row>
    <row r="7774" spans="2:2">
      <c r="B7774" s="3"/>
    </row>
    <row r="7775" spans="2:2">
      <c r="B7775" s="3"/>
    </row>
    <row r="7776" spans="2:2">
      <c r="B7776" s="3"/>
    </row>
    <row r="7777" spans="2:2">
      <c r="B7777" s="3"/>
    </row>
    <row r="7778" spans="2:2">
      <c r="B7778" s="3"/>
    </row>
    <row r="7779" spans="2:2">
      <c r="B7779" s="3"/>
    </row>
    <row r="7780" spans="2:2">
      <c r="B7780" s="3"/>
    </row>
    <row r="7781" spans="2:2">
      <c r="B7781" s="3"/>
    </row>
    <row r="7782" spans="2:2">
      <c r="B7782" s="3"/>
    </row>
    <row r="7783" spans="2:2">
      <c r="B7783" s="3"/>
    </row>
    <row r="7784" spans="2:2">
      <c r="B7784" s="3"/>
    </row>
    <row r="7785" spans="2:2">
      <c r="B7785" s="3"/>
    </row>
    <row r="7786" spans="2:2">
      <c r="B7786" s="3"/>
    </row>
    <row r="7787" spans="2:2">
      <c r="B7787" s="3"/>
    </row>
    <row r="7788" spans="2:2">
      <c r="B7788" s="3"/>
    </row>
    <row r="7789" spans="2:2">
      <c r="B7789" s="3"/>
    </row>
    <row r="7790" spans="2:2">
      <c r="B7790" s="3"/>
    </row>
    <row r="7791" spans="2:2">
      <c r="B7791" s="3"/>
    </row>
    <row r="7792" spans="2:2">
      <c r="B7792" s="3"/>
    </row>
    <row r="7793" spans="2:2">
      <c r="B7793" s="3"/>
    </row>
    <row r="7794" spans="2:2">
      <c r="B7794" s="3"/>
    </row>
    <row r="7795" spans="2:2">
      <c r="B7795" s="3"/>
    </row>
    <row r="7796" spans="2:2">
      <c r="B7796" s="3"/>
    </row>
    <row r="7797" spans="2:2">
      <c r="B7797" s="3"/>
    </row>
    <row r="7798" spans="2:2">
      <c r="B7798" s="3"/>
    </row>
    <row r="7799" spans="2:2">
      <c r="B7799" s="3"/>
    </row>
    <row r="7800" spans="2:2">
      <c r="B7800" s="3"/>
    </row>
    <row r="7801" spans="2:2">
      <c r="B7801" s="3"/>
    </row>
    <row r="7802" spans="2:2">
      <c r="B7802" s="3"/>
    </row>
    <row r="7803" spans="2:2">
      <c r="B7803" s="3"/>
    </row>
    <row r="7804" spans="2:2">
      <c r="B7804" s="3"/>
    </row>
    <row r="7805" spans="2:2">
      <c r="B7805" s="3"/>
    </row>
    <row r="7806" spans="2:2">
      <c r="B7806" s="3"/>
    </row>
    <row r="7807" spans="2:2">
      <c r="B7807" s="3"/>
    </row>
    <row r="7808" spans="2:2">
      <c r="B7808" s="3"/>
    </row>
    <row r="7809" spans="2:2">
      <c r="B7809" s="3"/>
    </row>
    <row r="7810" spans="2:2">
      <c r="B7810" s="3"/>
    </row>
    <row r="7811" spans="2:2">
      <c r="B7811" s="3"/>
    </row>
    <row r="7812" spans="2:2">
      <c r="B7812" s="3"/>
    </row>
    <row r="7813" spans="2:2">
      <c r="B7813" s="3"/>
    </row>
    <row r="7814" spans="2:2">
      <c r="B7814" s="3"/>
    </row>
    <row r="7815" spans="2:2">
      <c r="B7815" s="3"/>
    </row>
    <row r="7816" spans="2:2">
      <c r="B7816" s="3"/>
    </row>
    <row r="7817" spans="2:2">
      <c r="B7817" s="3"/>
    </row>
    <row r="7818" spans="2:2">
      <c r="B7818" s="3"/>
    </row>
    <row r="7819" spans="2:2">
      <c r="B7819" s="3"/>
    </row>
    <row r="7820" spans="2:2">
      <c r="B7820" s="3"/>
    </row>
    <row r="7821" spans="2:2">
      <c r="B7821" s="3"/>
    </row>
    <row r="7822" spans="2:2">
      <c r="B7822" s="3"/>
    </row>
    <row r="7823" spans="2:2">
      <c r="B7823" s="3"/>
    </row>
    <row r="7824" spans="2:2">
      <c r="B7824" s="3"/>
    </row>
    <row r="7825" spans="2:2">
      <c r="B7825" s="3"/>
    </row>
    <row r="7826" spans="2:2">
      <c r="B7826" s="3"/>
    </row>
    <row r="7827" spans="2:2">
      <c r="B7827" s="3"/>
    </row>
    <row r="7828" spans="2:2">
      <c r="B7828" s="3"/>
    </row>
    <row r="7829" spans="2:2">
      <c r="B7829" s="3"/>
    </row>
    <row r="7830" spans="2:2">
      <c r="B7830" s="3"/>
    </row>
    <row r="7831" spans="2:2">
      <c r="B7831" s="3"/>
    </row>
    <row r="7832" spans="2:2">
      <c r="B7832" s="3"/>
    </row>
    <row r="7833" spans="2:2">
      <c r="B7833" s="3"/>
    </row>
    <row r="7834" spans="2:2">
      <c r="B7834" s="3"/>
    </row>
    <row r="7835" spans="2:2">
      <c r="B7835" s="3"/>
    </row>
    <row r="7836" spans="2:2">
      <c r="B7836" s="3"/>
    </row>
    <row r="7837" spans="2:2">
      <c r="B7837" s="3"/>
    </row>
    <row r="7838" spans="2:2">
      <c r="B7838" s="3"/>
    </row>
    <row r="7839" spans="2:2">
      <c r="B7839" s="3"/>
    </row>
    <row r="7840" spans="2:2">
      <c r="B7840" s="3"/>
    </row>
    <row r="7841" spans="2:2">
      <c r="B7841" s="3"/>
    </row>
    <row r="7842" spans="2:2">
      <c r="B7842" s="3"/>
    </row>
    <row r="7843" spans="2:2">
      <c r="B7843" s="3"/>
    </row>
    <row r="7844" spans="2:2">
      <c r="B7844" s="3"/>
    </row>
    <row r="7845" spans="2:2">
      <c r="B7845" s="3"/>
    </row>
    <row r="7846" spans="2:2">
      <c r="B7846" s="3"/>
    </row>
    <row r="7847" spans="2:2">
      <c r="B7847" s="3"/>
    </row>
    <row r="7848" spans="2:2">
      <c r="B7848" s="3"/>
    </row>
    <row r="7849" spans="2:2">
      <c r="B7849" s="3"/>
    </row>
    <row r="7850" spans="2:2">
      <c r="B7850" s="3"/>
    </row>
    <row r="7851" spans="2:2">
      <c r="B7851" s="3"/>
    </row>
    <row r="7852" spans="2:2">
      <c r="B7852" s="3"/>
    </row>
    <row r="7853" spans="2:2">
      <c r="B7853" s="3"/>
    </row>
    <row r="7854" spans="2:2">
      <c r="B7854" s="3"/>
    </row>
    <row r="7855" spans="2:2">
      <c r="B7855" s="3"/>
    </row>
    <row r="7856" spans="2:2">
      <c r="B7856" s="3"/>
    </row>
    <row r="7857" spans="2:2">
      <c r="B7857" s="3"/>
    </row>
    <row r="7858" spans="2:2">
      <c r="B7858" s="3"/>
    </row>
    <row r="7859" spans="2:2">
      <c r="B7859" s="3"/>
    </row>
    <row r="7860" spans="2:2">
      <c r="B7860" s="3"/>
    </row>
    <row r="7861" spans="2:2">
      <c r="B7861" s="3"/>
    </row>
    <row r="7862" spans="2:2">
      <c r="B7862" s="3"/>
    </row>
    <row r="7863" spans="2:2">
      <c r="B7863" s="3"/>
    </row>
    <row r="7864" spans="2:2">
      <c r="B7864" s="3"/>
    </row>
    <row r="7865" spans="2:2">
      <c r="B7865" s="3"/>
    </row>
    <row r="7866" spans="2:2">
      <c r="B7866" s="3"/>
    </row>
    <row r="7867" spans="2:2">
      <c r="B7867" s="3"/>
    </row>
    <row r="7868" spans="2:2">
      <c r="B7868" s="3"/>
    </row>
    <row r="7869" spans="2:2">
      <c r="B7869" s="3"/>
    </row>
    <row r="7870" spans="2:2">
      <c r="B7870" s="3"/>
    </row>
    <row r="7871" spans="2:2">
      <c r="B7871" s="3"/>
    </row>
    <row r="7872" spans="2:2">
      <c r="B7872" s="3"/>
    </row>
    <row r="7873" spans="2:2">
      <c r="B7873" s="3"/>
    </row>
    <row r="7874" spans="2:2">
      <c r="B7874" s="3"/>
    </row>
    <row r="7875" spans="2:2">
      <c r="B7875" s="3"/>
    </row>
    <row r="7876" spans="2:2">
      <c r="B7876" s="3"/>
    </row>
    <row r="7877" spans="2:2">
      <c r="B7877" s="3"/>
    </row>
    <row r="7878" spans="2:2">
      <c r="B7878" s="3"/>
    </row>
    <row r="7879" spans="2:2">
      <c r="B7879" s="3"/>
    </row>
    <row r="7880" spans="2:2">
      <c r="B7880" s="3"/>
    </row>
    <row r="7881" spans="2:2">
      <c r="B7881" s="3"/>
    </row>
    <row r="7882" spans="2:2">
      <c r="B7882" s="3"/>
    </row>
    <row r="7883" spans="2:2">
      <c r="B7883" s="3"/>
    </row>
    <row r="7884" spans="2:2">
      <c r="B7884" s="3"/>
    </row>
    <row r="7885" spans="2:2">
      <c r="B7885" s="3"/>
    </row>
    <row r="7886" spans="2:2">
      <c r="B7886" s="3"/>
    </row>
    <row r="7887" spans="2:2">
      <c r="B7887" s="3"/>
    </row>
    <row r="7888" spans="2:2">
      <c r="B7888" s="3"/>
    </row>
    <row r="7889" spans="2:2">
      <c r="B7889" s="3"/>
    </row>
    <row r="7890" spans="2:2">
      <c r="B7890" s="3"/>
    </row>
    <row r="7891" spans="2:2">
      <c r="B7891" s="3"/>
    </row>
    <row r="7892" spans="2:2">
      <c r="B7892" s="3"/>
    </row>
    <row r="7893" spans="2:2">
      <c r="B7893" s="3"/>
    </row>
    <row r="7894" spans="2:2">
      <c r="B7894" s="3"/>
    </row>
    <row r="7895" spans="2:2">
      <c r="B7895" s="3"/>
    </row>
    <row r="7896" spans="2:2">
      <c r="B7896" s="3"/>
    </row>
    <row r="7897" spans="2:2">
      <c r="B7897" s="3"/>
    </row>
    <row r="7898" spans="2:2">
      <c r="B7898" s="3"/>
    </row>
    <row r="7899" spans="2:2">
      <c r="B7899" s="3"/>
    </row>
    <row r="7900" spans="2:2">
      <c r="B7900" s="3"/>
    </row>
    <row r="7901" spans="2:2">
      <c r="B7901" s="3"/>
    </row>
    <row r="7902" spans="2:2">
      <c r="B7902" s="3"/>
    </row>
    <row r="7903" spans="2:2">
      <c r="B7903" s="3"/>
    </row>
    <row r="7904" spans="2:2">
      <c r="B7904" s="3"/>
    </row>
    <row r="7905" spans="2:2">
      <c r="B7905" s="3"/>
    </row>
    <row r="7906" spans="2:2">
      <c r="B7906" s="3"/>
    </row>
    <row r="7907" spans="2:2">
      <c r="B7907" s="3"/>
    </row>
    <row r="7908" spans="2:2">
      <c r="B7908" s="3"/>
    </row>
    <row r="7909" spans="2:2">
      <c r="B7909" s="3"/>
    </row>
    <row r="7910" spans="2:2">
      <c r="B7910" s="3"/>
    </row>
    <row r="7911" spans="2:2">
      <c r="B7911" s="3"/>
    </row>
    <row r="7912" spans="2:2">
      <c r="B7912" s="3"/>
    </row>
    <row r="7913" spans="2:2">
      <c r="B7913" s="3"/>
    </row>
    <row r="7914" spans="2:2">
      <c r="B7914" s="3"/>
    </row>
    <row r="7915" spans="2:2">
      <c r="B7915" s="3"/>
    </row>
    <row r="7916" spans="2:2">
      <c r="B7916" s="3"/>
    </row>
    <row r="7917" spans="2:2">
      <c r="B7917" s="3"/>
    </row>
    <row r="7918" spans="2:2">
      <c r="B7918" s="3"/>
    </row>
    <row r="7919" spans="2:2">
      <c r="B7919" s="3"/>
    </row>
    <row r="7920" spans="2:2">
      <c r="B7920" s="3"/>
    </row>
    <row r="7921" spans="2:2">
      <c r="B7921" s="3"/>
    </row>
    <row r="7922" spans="2:2">
      <c r="B7922" s="3"/>
    </row>
    <row r="7923" spans="2:2">
      <c r="B7923" s="3"/>
    </row>
    <row r="7924" spans="2:2">
      <c r="B7924" s="3"/>
    </row>
    <row r="7925" spans="2:2">
      <c r="B7925" s="3"/>
    </row>
    <row r="7926" spans="2:2">
      <c r="B7926" s="3"/>
    </row>
    <row r="7927" spans="2:2">
      <c r="B7927" s="3"/>
    </row>
    <row r="7928" spans="2:2">
      <c r="B7928" s="3"/>
    </row>
    <row r="7929" spans="2:2">
      <c r="B7929" s="3"/>
    </row>
    <row r="7930" spans="2:2">
      <c r="B7930" s="3"/>
    </row>
    <row r="7931" spans="2:2">
      <c r="B7931" s="3"/>
    </row>
    <row r="7932" spans="2:2">
      <c r="B7932" s="3"/>
    </row>
    <row r="7933" spans="2:2">
      <c r="B7933" s="3"/>
    </row>
    <row r="7934" spans="2:2">
      <c r="B7934" s="3"/>
    </row>
    <row r="7935" spans="2:2">
      <c r="B7935" s="3"/>
    </row>
    <row r="7936" spans="2:2">
      <c r="B7936" s="3"/>
    </row>
    <row r="7937" spans="2:2">
      <c r="B7937" s="3"/>
    </row>
    <row r="7938" spans="2:2">
      <c r="B7938" s="3"/>
    </row>
    <row r="7939" spans="2:2">
      <c r="B7939" s="3"/>
    </row>
    <row r="7940" spans="2:2">
      <c r="B7940" s="3"/>
    </row>
    <row r="7941" spans="2:2">
      <c r="B7941" s="3"/>
    </row>
    <row r="7942" spans="2:2">
      <c r="B7942" s="3"/>
    </row>
    <row r="7943" spans="2:2">
      <c r="B7943" s="3"/>
    </row>
    <row r="7944" spans="2:2">
      <c r="B7944" s="3"/>
    </row>
    <row r="7945" spans="2:2">
      <c r="B7945" s="3"/>
    </row>
    <row r="7946" spans="2:2">
      <c r="B7946" s="3"/>
    </row>
    <row r="7947" spans="2:2">
      <c r="B7947" s="3"/>
    </row>
    <row r="7948" spans="2:2">
      <c r="B7948" s="3"/>
    </row>
    <row r="7949" spans="2:2">
      <c r="B7949" s="3"/>
    </row>
    <row r="7950" spans="2:2">
      <c r="B7950" s="3"/>
    </row>
    <row r="7951" spans="2:2">
      <c r="B7951" s="3"/>
    </row>
    <row r="7952" spans="2:2">
      <c r="B7952" s="3"/>
    </row>
    <row r="7953" spans="2:2">
      <c r="B7953" s="3"/>
    </row>
    <row r="7954" spans="2:2">
      <c r="B7954" s="3"/>
    </row>
    <row r="7955" spans="2:2">
      <c r="B7955" s="3"/>
    </row>
    <row r="7956" spans="2:2">
      <c r="B7956" s="3"/>
    </row>
    <row r="7957" spans="2:2">
      <c r="B7957" s="3"/>
    </row>
    <row r="7958" spans="2:2">
      <c r="B7958" s="3"/>
    </row>
    <row r="7959" spans="2:2">
      <c r="B7959" s="3"/>
    </row>
    <row r="7960" spans="2:2">
      <c r="B7960" s="3"/>
    </row>
    <row r="7961" spans="2:2">
      <c r="B7961" s="3"/>
    </row>
    <row r="7962" spans="2:2">
      <c r="B7962" s="3"/>
    </row>
    <row r="7963" spans="2:2">
      <c r="B7963" s="3"/>
    </row>
    <row r="7964" spans="2:2">
      <c r="B7964" s="3"/>
    </row>
    <row r="7965" spans="2:2">
      <c r="B7965" s="3"/>
    </row>
    <row r="7966" spans="2:2">
      <c r="B7966" s="3"/>
    </row>
    <row r="7967" spans="2:2">
      <c r="B7967" s="3"/>
    </row>
    <row r="7968" spans="2:2">
      <c r="B7968" s="3"/>
    </row>
    <row r="7969" spans="2:2">
      <c r="B7969" s="3"/>
    </row>
    <row r="7970" spans="2:2">
      <c r="B7970" s="3"/>
    </row>
    <row r="7971" spans="2:2">
      <c r="B7971" s="3"/>
    </row>
    <row r="7972" spans="2:2">
      <c r="B7972" s="3"/>
    </row>
    <row r="7973" spans="2:2">
      <c r="B7973" s="3"/>
    </row>
    <row r="7974" spans="2:2">
      <c r="B7974" s="3"/>
    </row>
    <row r="7975" spans="2:2">
      <c r="B7975" s="3"/>
    </row>
    <row r="7976" spans="2:2">
      <c r="B7976" s="3"/>
    </row>
    <row r="7977" spans="2:2">
      <c r="B7977" s="3"/>
    </row>
    <row r="7978" spans="2:2">
      <c r="B7978" s="3"/>
    </row>
    <row r="7979" spans="2:2">
      <c r="B7979" s="3"/>
    </row>
    <row r="7980" spans="2:2">
      <c r="B7980" s="3"/>
    </row>
    <row r="7981" spans="2:2">
      <c r="B7981" s="3"/>
    </row>
    <row r="7982" spans="2:2">
      <c r="B7982" s="3"/>
    </row>
    <row r="7983" spans="2:2">
      <c r="B7983" s="3"/>
    </row>
    <row r="7984" spans="2:2">
      <c r="B7984" s="3"/>
    </row>
    <row r="7985" spans="2:2">
      <c r="B7985" s="3"/>
    </row>
    <row r="7986" spans="2:2">
      <c r="B7986" s="3"/>
    </row>
    <row r="7987" spans="2:2">
      <c r="B7987" s="3"/>
    </row>
    <row r="7988" spans="2:2">
      <c r="B7988" s="3"/>
    </row>
    <row r="7989" spans="2:2">
      <c r="B7989" s="3"/>
    </row>
    <row r="7990" spans="2:2">
      <c r="B7990" s="3"/>
    </row>
    <row r="7991" spans="2:2">
      <c r="B7991" s="3"/>
    </row>
    <row r="7992" spans="2:2">
      <c r="B7992" s="3"/>
    </row>
    <row r="7993" spans="2:2">
      <c r="B7993" s="3"/>
    </row>
    <row r="7994" spans="2:2">
      <c r="B7994" s="3"/>
    </row>
    <row r="7995" spans="2:2">
      <c r="B7995" s="3"/>
    </row>
    <row r="7996" spans="2:2">
      <c r="B7996" s="3"/>
    </row>
    <row r="7997" spans="2:2">
      <c r="B7997" s="3"/>
    </row>
    <row r="7998" spans="2:2">
      <c r="B7998" s="3"/>
    </row>
    <row r="7999" spans="2:2">
      <c r="B7999" s="3"/>
    </row>
    <row r="8000" spans="2:2">
      <c r="B8000" s="3"/>
    </row>
    <row r="8001" spans="2:2">
      <c r="B8001" s="3"/>
    </row>
    <row r="8002" spans="2:2">
      <c r="B8002" s="3"/>
    </row>
    <row r="8003" spans="2:2">
      <c r="B8003" s="3"/>
    </row>
    <row r="8004" spans="2:2">
      <c r="B8004" s="3"/>
    </row>
    <row r="8005" spans="2:2">
      <c r="B8005" s="3"/>
    </row>
    <row r="8006" spans="2:2">
      <c r="B8006" s="3"/>
    </row>
    <row r="8007" spans="2:2">
      <c r="B8007" s="3"/>
    </row>
    <row r="8008" spans="2:2">
      <c r="B8008" s="3"/>
    </row>
    <row r="8009" spans="2:2">
      <c r="B8009" s="3"/>
    </row>
    <row r="8010" spans="2:2">
      <c r="B8010" s="3"/>
    </row>
    <row r="8011" spans="2:2">
      <c r="B8011" s="3"/>
    </row>
    <row r="8012" spans="2:2">
      <c r="B8012" s="3"/>
    </row>
    <row r="8013" spans="2:2">
      <c r="B8013" s="3"/>
    </row>
    <row r="8014" spans="2:2">
      <c r="B8014" s="3"/>
    </row>
    <row r="8015" spans="2:2">
      <c r="B8015" s="3"/>
    </row>
    <row r="8016" spans="2:2">
      <c r="B8016" s="3"/>
    </row>
    <row r="8017" spans="2:2">
      <c r="B8017" s="3"/>
    </row>
    <row r="8018" spans="2:2">
      <c r="B8018" s="3"/>
    </row>
    <row r="8019" spans="2:2">
      <c r="B8019" s="3"/>
    </row>
    <row r="8020" spans="2:2">
      <c r="B8020" s="3"/>
    </row>
    <row r="8021" spans="2:2">
      <c r="B8021" s="3"/>
    </row>
    <row r="8022" spans="2:2">
      <c r="B8022" s="3"/>
    </row>
    <row r="8023" spans="2:2">
      <c r="B8023" s="3"/>
    </row>
    <row r="8024" spans="2:2">
      <c r="B8024" s="3"/>
    </row>
    <row r="8025" spans="2:2">
      <c r="B8025" s="3"/>
    </row>
    <row r="8026" spans="2:2">
      <c r="B8026" s="3"/>
    </row>
    <row r="8027" spans="2:2">
      <c r="B8027" s="3"/>
    </row>
    <row r="8028" spans="2:2">
      <c r="B8028" s="3"/>
    </row>
    <row r="8029" spans="2:2">
      <c r="B8029" s="3"/>
    </row>
    <row r="8030" spans="2:2">
      <c r="B8030" s="3"/>
    </row>
    <row r="8031" spans="2:2">
      <c r="B8031" s="3"/>
    </row>
    <row r="8032" spans="2:2">
      <c r="B8032" s="3"/>
    </row>
    <row r="8033" spans="2:2">
      <c r="B8033" s="3"/>
    </row>
    <row r="8034" spans="2:2">
      <c r="B8034" s="3"/>
    </row>
    <row r="8035" spans="2:2">
      <c r="B8035" s="3"/>
    </row>
    <row r="8036" spans="2:2">
      <c r="B8036" s="3"/>
    </row>
    <row r="8037" spans="2:2">
      <c r="B8037" s="3"/>
    </row>
    <row r="8038" spans="2:2">
      <c r="B8038" s="3"/>
    </row>
    <row r="8039" spans="2:2">
      <c r="B8039" s="3"/>
    </row>
    <row r="8040" spans="2:2">
      <c r="B8040" s="3"/>
    </row>
    <row r="8041" spans="2:2">
      <c r="B8041" s="3"/>
    </row>
    <row r="8042" spans="2:2">
      <c r="B8042" s="3"/>
    </row>
    <row r="8043" spans="2:2">
      <c r="B8043" s="3"/>
    </row>
    <row r="8044" spans="2:2">
      <c r="B8044" s="3"/>
    </row>
    <row r="8045" spans="2:2">
      <c r="B8045" s="3"/>
    </row>
    <row r="8046" spans="2:2">
      <c r="B8046" s="3"/>
    </row>
    <row r="8047" spans="2:2">
      <c r="B8047" s="3"/>
    </row>
    <row r="8048" spans="2:2">
      <c r="B8048" s="3"/>
    </row>
    <row r="8049" spans="2:2">
      <c r="B8049" s="3"/>
    </row>
    <row r="8050" spans="2:2">
      <c r="B8050" s="3"/>
    </row>
    <row r="8051" spans="2:2">
      <c r="B8051" s="3"/>
    </row>
    <row r="8052" spans="2:2">
      <c r="B8052" s="3"/>
    </row>
    <row r="8053" spans="2:2">
      <c r="B8053" s="3"/>
    </row>
    <row r="8054" spans="2:2">
      <c r="B8054" s="3"/>
    </row>
    <row r="8055" spans="2:2">
      <c r="B8055" s="3"/>
    </row>
    <row r="8056" spans="2:2">
      <c r="B8056" s="3"/>
    </row>
    <row r="8057" spans="2:2">
      <c r="B8057" s="3"/>
    </row>
    <row r="8058" spans="2:2">
      <c r="B8058" s="3"/>
    </row>
    <row r="8059" spans="2:2">
      <c r="B8059" s="3"/>
    </row>
    <row r="8060" spans="2:2">
      <c r="B8060" s="3"/>
    </row>
    <row r="8061" spans="2:2">
      <c r="B8061" s="3"/>
    </row>
    <row r="8062" spans="2:2">
      <c r="B8062" s="3"/>
    </row>
    <row r="8063" spans="2:2">
      <c r="B8063" s="3"/>
    </row>
    <row r="8064" spans="2:2">
      <c r="B8064" s="3"/>
    </row>
    <row r="8065" spans="2:2">
      <c r="B8065" s="3"/>
    </row>
    <row r="8066" spans="2:2">
      <c r="B8066" s="3"/>
    </row>
    <row r="8067" spans="2:2">
      <c r="B8067" s="3"/>
    </row>
    <row r="8068" spans="2:2">
      <c r="B8068" s="3"/>
    </row>
    <row r="8069" spans="2:2">
      <c r="B8069" s="3"/>
    </row>
    <row r="8070" spans="2:2">
      <c r="B8070" s="3"/>
    </row>
    <row r="8071" spans="2:2">
      <c r="B8071" s="3"/>
    </row>
    <row r="8072" spans="2:2">
      <c r="B8072" s="3"/>
    </row>
    <row r="8073" spans="2:2">
      <c r="B8073" s="3"/>
    </row>
    <row r="8074" spans="2:2">
      <c r="B8074" s="3"/>
    </row>
    <row r="8075" spans="2:2">
      <c r="B8075" s="3"/>
    </row>
    <row r="8076" spans="2:2">
      <c r="B8076" s="3"/>
    </row>
    <row r="8077" spans="2:2">
      <c r="B8077" s="3"/>
    </row>
    <row r="8078" spans="2:2">
      <c r="B8078" s="3"/>
    </row>
    <row r="8079" spans="2:2">
      <c r="B8079" s="3"/>
    </row>
    <row r="8080" spans="2:2">
      <c r="B8080" s="3"/>
    </row>
    <row r="8081" spans="2:2">
      <c r="B8081" s="3"/>
    </row>
    <row r="8082" spans="2:2">
      <c r="B8082" s="3"/>
    </row>
    <row r="8083" spans="2:2">
      <c r="B8083" s="3"/>
    </row>
    <row r="8084" spans="2:2">
      <c r="B8084" s="3"/>
    </row>
    <row r="8085" spans="2:2">
      <c r="B8085" s="3"/>
    </row>
    <row r="8086" spans="2:2">
      <c r="B8086" s="3"/>
    </row>
    <row r="8087" spans="2:2">
      <c r="B8087" s="3"/>
    </row>
    <row r="8088" spans="2:2">
      <c r="B8088" s="3"/>
    </row>
    <row r="8089" spans="2:2">
      <c r="B8089" s="3"/>
    </row>
    <row r="8090" spans="2:2">
      <c r="B8090" s="3"/>
    </row>
    <row r="8091" spans="2:2">
      <c r="B8091" s="3"/>
    </row>
    <row r="8092" spans="2:2">
      <c r="B8092" s="3"/>
    </row>
    <row r="8093" spans="2:2">
      <c r="B8093" s="3"/>
    </row>
    <row r="8094" spans="2:2">
      <c r="B8094" s="3"/>
    </row>
    <row r="8095" spans="2:2">
      <c r="B8095" s="3"/>
    </row>
    <row r="8096" spans="2:2">
      <c r="B8096" s="3"/>
    </row>
    <row r="8097" spans="2:2">
      <c r="B8097" s="3"/>
    </row>
    <row r="8098" spans="2:2">
      <c r="B8098" s="3"/>
    </row>
    <row r="8099" spans="2:2">
      <c r="B8099" s="3"/>
    </row>
    <row r="8100" spans="2:2">
      <c r="B8100" s="3"/>
    </row>
    <row r="8101" spans="2:2">
      <c r="B8101" s="3"/>
    </row>
    <row r="8102" spans="2:2">
      <c r="B8102" s="3"/>
    </row>
    <row r="8103" spans="2:2">
      <c r="B8103" s="3"/>
    </row>
    <row r="8104" spans="2:2">
      <c r="B8104" s="3"/>
    </row>
    <row r="8105" spans="2:2">
      <c r="B8105" s="3"/>
    </row>
    <row r="8106" spans="2:2">
      <c r="B8106" s="3"/>
    </row>
    <row r="8107" spans="2:2">
      <c r="B8107" s="3"/>
    </row>
    <row r="8108" spans="2:2">
      <c r="B8108" s="3"/>
    </row>
    <row r="8109" spans="2:2">
      <c r="B8109" s="3"/>
    </row>
    <row r="8110" spans="2:2">
      <c r="B8110" s="3"/>
    </row>
    <row r="8111" spans="2:2">
      <c r="B8111" s="3"/>
    </row>
    <row r="8112" spans="2:2">
      <c r="B8112" s="3"/>
    </row>
    <row r="8113" spans="2:2">
      <c r="B8113" s="3"/>
    </row>
    <row r="8114" spans="2:2">
      <c r="B8114" s="3"/>
    </row>
    <row r="8115" spans="2:2">
      <c r="B8115" s="3"/>
    </row>
    <row r="8116" spans="2:2">
      <c r="B8116" s="3"/>
    </row>
    <row r="8117" spans="2:2">
      <c r="B8117" s="3"/>
    </row>
    <row r="8118" spans="2:2">
      <c r="B8118" s="3"/>
    </row>
    <row r="8119" spans="2:2">
      <c r="B8119" s="3"/>
    </row>
    <row r="8120" spans="2:2">
      <c r="B8120" s="3"/>
    </row>
    <row r="8121" spans="2:2">
      <c r="B8121" s="3"/>
    </row>
    <row r="8122" spans="2:2">
      <c r="B8122" s="3"/>
    </row>
    <row r="8123" spans="2:2">
      <c r="B8123" s="3"/>
    </row>
    <row r="8124" spans="2:2">
      <c r="B8124" s="3"/>
    </row>
    <row r="8125" spans="2:2">
      <c r="B8125" s="3"/>
    </row>
    <row r="8126" spans="2:2">
      <c r="B8126" s="3"/>
    </row>
    <row r="8127" spans="2:2">
      <c r="B8127" s="3"/>
    </row>
    <row r="8128" spans="2:2">
      <c r="B8128" s="3"/>
    </row>
    <row r="8129" spans="2:2">
      <c r="B8129" s="3"/>
    </row>
    <row r="8130" spans="2:2">
      <c r="B8130" s="3"/>
    </row>
    <row r="8131" spans="2:2">
      <c r="B8131" s="3"/>
    </row>
    <row r="8132" spans="2:2">
      <c r="B8132" s="3"/>
    </row>
    <row r="8133" spans="2:2">
      <c r="B8133" s="3"/>
    </row>
    <row r="8134" spans="2:2">
      <c r="B8134" s="3"/>
    </row>
    <row r="8135" spans="2:2">
      <c r="B8135" s="3"/>
    </row>
    <row r="8136" spans="2:2">
      <c r="B8136" s="3"/>
    </row>
    <row r="8137" spans="2:2">
      <c r="B8137" s="3"/>
    </row>
    <row r="8138" spans="2:2">
      <c r="B8138" s="3"/>
    </row>
    <row r="8139" spans="2:2">
      <c r="B8139" s="3"/>
    </row>
    <row r="8140" spans="2:2">
      <c r="B8140" s="3"/>
    </row>
    <row r="8141" spans="2:2">
      <c r="B8141" s="3"/>
    </row>
    <row r="8142" spans="2:2">
      <c r="B8142" s="3"/>
    </row>
    <row r="8143" spans="2:2">
      <c r="B8143" s="3"/>
    </row>
    <row r="8144" spans="2:2">
      <c r="B8144" s="3"/>
    </row>
    <row r="8145" spans="2:2">
      <c r="B8145" s="3"/>
    </row>
    <row r="8146" spans="2:2">
      <c r="B8146" s="3"/>
    </row>
    <row r="8147" spans="2:2">
      <c r="B8147" s="3"/>
    </row>
    <row r="8148" spans="2:2">
      <c r="B8148" s="3"/>
    </row>
    <row r="8149" spans="2:2">
      <c r="B8149" s="3"/>
    </row>
    <row r="8150" spans="2:2">
      <c r="B8150" s="3"/>
    </row>
    <row r="8151" spans="2:2">
      <c r="B8151" s="3"/>
    </row>
    <row r="8152" spans="2:2">
      <c r="B8152" s="3"/>
    </row>
    <row r="8153" spans="2:2">
      <c r="B8153" s="3"/>
    </row>
    <row r="8154" spans="2:2">
      <c r="B8154" s="3"/>
    </row>
    <row r="8155" spans="2:2">
      <c r="B8155" s="3"/>
    </row>
    <row r="8156" spans="2:2">
      <c r="B8156" s="3"/>
    </row>
    <row r="8157" spans="2:2">
      <c r="B8157" s="3"/>
    </row>
    <row r="8158" spans="2:2">
      <c r="B8158" s="3"/>
    </row>
    <row r="8159" spans="2:2">
      <c r="B8159" s="3"/>
    </row>
    <row r="8160" spans="2:2">
      <c r="B8160" s="3"/>
    </row>
    <row r="8161" spans="2:2">
      <c r="B8161" s="3"/>
    </row>
    <row r="8162" spans="2:2">
      <c r="B8162" s="3"/>
    </row>
    <row r="8163" spans="2:2">
      <c r="B8163" s="3"/>
    </row>
    <row r="8164" spans="2:2">
      <c r="B8164" s="3"/>
    </row>
    <row r="8165" spans="2:2">
      <c r="B8165" s="3"/>
    </row>
    <row r="8166" spans="2:2">
      <c r="B8166" s="3"/>
    </row>
    <row r="8167" spans="2:2">
      <c r="B8167" s="3"/>
    </row>
    <row r="8168" spans="2:2">
      <c r="B8168" s="3"/>
    </row>
    <row r="8169" spans="2:2">
      <c r="B8169" s="3"/>
    </row>
    <row r="8170" spans="2:2">
      <c r="B8170" s="3"/>
    </row>
    <row r="8171" spans="2:2">
      <c r="B8171" s="3"/>
    </row>
    <row r="8172" spans="2:2">
      <c r="B8172" s="3"/>
    </row>
    <row r="8173" spans="2:2">
      <c r="B8173" s="3"/>
    </row>
    <row r="8174" spans="2:2">
      <c r="B8174" s="3"/>
    </row>
    <row r="8175" spans="2:2">
      <c r="B8175" s="3"/>
    </row>
    <row r="8176" spans="2:2">
      <c r="B8176" s="3"/>
    </row>
    <row r="8177" spans="2:2">
      <c r="B8177" s="3"/>
    </row>
    <row r="8178" spans="2:2">
      <c r="B8178" s="3"/>
    </row>
    <row r="8179" spans="2:2">
      <c r="B8179" s="3"/>
    </row>
    <row r="8180" spans="2:2">
      <c r="B8180" s="3"/>
    </row>
    <row r="8181" spans="2:2">
      <c r="B8181" s="3"/>
    </row>
    <row r="8182" spans="2:2">
      <c r="B8182" s="3"/>
    </row>
    <row r="8183" spans="2:2">
      <c r="B8183" s="3"/>
    </row>
    <row r="8184" spans="2:2">
      <c r="B8184" s="3"/>
    </row>
    <row r="8185" spans="2:2">
      <c r="B8185" s="3"/>
    </row>
    <row r="8186" spans="2:2">
      <c r="B8186" s="3"/>
    </row>
    <row r="8187" spans="2:2">
      <c r="B8187" s="3"/>
    </row>
    <row r="8188" spans="2:2">
      <c r="B8188" s="3"/>
    </row>
    <row r="8189" spans="2:2">
      <c r="B8189" s="3"/>
    </row>
    <row r="8190" spans="2:2">
      <c r="B8190" s="3"/>
    </row>
    <row r="8191" spans="2:2">
      <c r="B8191" s="3"/>
    </row>
    <row r="8192" spans="2:2">
      <c r="B8192" s="3"/>
    </row>
    <row r="8193" spans="2:2">
      <c r="B8193" s="3"/>
    </row>
    <row r="8194" spans="2:2">
      <c r="B8194" s="3"/>
    </row>
    <row r="8195" spans="2:2">
      <c r="B8195" s="3"/>
    </row>
    <row r="8196" spans="2:2">
      <c r="B8196" s="3"/>
    </row>
    <row r="8197" spans="2:2">
      <c r="B8197" s="3"/>
    </row>
    <row r="8198" spans="2:2">
      <c r="B8198" s="3"/>
    </row>
    <row r="8199" spans="2:2">
      <c r="B8199" s="3"/>
    </row>
    <row r="8200" spans="2:2">
      <c r="B8200" s="3"/>
    </row>
    <row r="8201" spans="2:2">
      <c r="B8201" s="3"/>
    </row>
    <row r="8202" spans="2:2">
      <c r="B8202" s="3"/>
    </row>
    <row r="8203" spans="2:2">
      <c r="B8203" s="3"/>
    </row>
    <row r="8204" spans="2:2">
      <c r="B8204" s="3"/>
    </row>
    <row r="8205" spans="2:2">
      <c r="B8205" s="3"/>
    </row>
    <row r="8206" spans="2:2">
      <c r="B8206" s="3"/>
    </row>
    <row r="8207" spans="2:2">
      <c r="B8207" s="3"/>
    </row>
    <row r="8208" spans="2:2">
      <c r="B8208" s="3"/>
    </row>
    <row r="8209" spans="2:2">
      <c r="B8209" s="3"/>
    </row>
    <row r="8210" spans="2:2">
      <c r="B8210" s="3"/>
    </row>
    <row r="8211" spans="2:2">
      <c r="B8211" s="3"/>
    </row>
    <row r="8212" spans="2:2">
      <c r="B8212" s="3"/>
    </row>
    <row r="8213" spans="2:2">
      <c r="B8213" s="3"/>
    </row>
    <row r="8214" spans="2:2">
      <c r="B8214" s="3"/>
    </row>
    <row r="8215" spans="2:2">
      <c r="B8215" s="3"/>
    </row>
    <row r="8216" spans="2:2">
      <c r="B8216" s="3"/>
    </row>
    <row r="8217" spans="2:2">
      <c r="B8217" s="3"/>
    </row>
    <row r="8218" spans="2:2">
      <c r="B8218" s="3"/>
    </row>
    <row r="8219" spans="2:2">
      <c r="B8219" s="3"/>
    </row>
    <row r="8220" spans="2:2">
      <c r="B8220" s="3"/>
    </row>
    <row r="8221" spans="2:2">
      <c r="B8221" s="3"/>
    </row>
    <row r="8222" spans="2:2">
      <c r="B8222" s="3"/>
    </row>
    <row r="8223" spans="2:2">
      <c r="B8223" s="3"/>
    </row>
    <row r="8224" spans="2:2">
      <c r="B8224" s="3"/>
    </row>
    <row r="8225" spans="2:2">
      <c r="B8225" s="3"/>
    </row>
    <row r="8226" spans="2:2">
      <c r="B8226" s="3"/>
    </row>
    <row r="8227" spans="2:2">
      <c r="B8227" s="3"/>
    </row>
    <row r="8228" spans="2:2">
      <c r="B8228" s="3"/>
    </row>
    <row r="8229" spans="2:2">
      <c r="B8229" s="3"/>
    </row>
    <row r="8230" spans="2:2">
      <c r="B8230" s="3"/>
    </row>
    <row r="8231" spans="2:2">
      <c r="B8231" s="3"/>
    </row>
    <row r="8232" spans="2:2">
      <c r="B8232" s="3"/>
    </row>
    <row r="8233" spans="2:2">
      <c r="B8233" s="3"/>
    </row>
    <row r="8234" spans="2:2">
      <c r="B8234" s="3"/>
    </row>
    <row r="8235" spans="2:2">
      <c r="B8235" s="3"/>
    </row>
    <row r="8236" spans="2:2">
      <c r="B8236" s="3"/>
    </row>
    <row r="8237" spans="2:2">
      <c r="B8237" s="3"/>
    </row>
    <row r="8238" spans="2:2">
      <c r="B8238" s="3"/>
    </row>
    <row r="8239" spans="2:2">
      <c r="B8239" s="3"/>
    </row>
    <row r="8240" spans="2:2">
      <c r="B8240" s="3"/>
    </row>
    <row r="8241" spans="2:2">
      <c r="B8241" s="3"/>
    </row>
    <row r="8242" spans="2:2">
      <c r="B8242" s="3"/>
    </row>
    <row r="8243" spans="2:2">
      <c r="B8243" s="3"/>
    </row>
    <row r="8244" spans="2:2">
      <c r="B8244" s="3"/>
    </row>
    <row r="8245" spans="2:2">
      <c r="B8245" s="3"/>
    </row>
    <row r="8246" spans="2:2">
      <c r="B8246" s="3"/>
    </row>
    <row r="8247" spans="2:2">
      <c r="B8247" s="3"/>
    </row>
    <row r="8248" spans="2:2">
      <c r="B8248" s="3"/>
    </row>
    <row r="8249" spans="2:2">
      <c r="B8249" s="3"/>
    </row>
    <row r="8250" spans="2:2">
      <c r="B8250" s="3"/>
    </row>
    <row r="8251" spans="2:2">
      <c r="B8251" s="3"/>
    </row>
    <row r="8252" spans="2:2">
      <c r="B8252" s="3"/>
    </row>
    <row r="8253" spans="2:2">
      <c r="B8253" s="3"/>
    </row>
    <row r="8254" spans="2:2">
      <c r="B8254" s="3"/>
    </row>
    <row r="8255" spans="2:2">
      <c r="B8255" s="3"/>
    </row>
    <row r="8256" spans="2:2">
      <c r="B8256" s="3"/>
    </row>
    <row r="8257" spans="2:2">
      <c r="B8257" s="3"/>
    </row>
    <row r="8258" spans="2:2">
      <c r="B8258" s="3"/>
    </row>
    <row r="8259" spans="2:2">
      <c r="B8259" s="3"/>
    </row>
    <row r="8260" spans="2:2">
      <c r="B8260" s="3"/>
    </row>
    <row r="8261" spans="2:2">
      <c r="B8261" s="3"/>
    </row>
    <row r="8262" spans="2:2">
      <c r="B8262" s="3"/>
    </row>
    <row r="8263" spans="2:2">
      <c r="B8263" s="3"/>
    </row>
    <row r="8264" spans="2:2">
      <c r="B8264" s="3"/>
    </row>
    <row r="8265" spans="2:2">
      <c r="B8265" s="3"/>
    </row>
    <row r="8266" spans="2:2">
      <c r="B8266" s="3"/>
    </row>
    <row r="8267" spans="2:2">
      <c r="B8267" s="3"/>
    </row>
    <row r="8268" spans="2:2">
      <c r="B8268" s="3"/>
    </row>
    <row r="8269" spans="2:2">
      <c r="B8269" s="3"/>
    </row>
    <row r="8270" spans="2:2">
      <c r="B8270" s="3"/>
    </row>
    <row r="8271" spans="2:2">
      <c r="B8271" s="3"/>
    </row>
    <row r="8272" spans="2:2">
      <c r="B8272" s="3"/>
    </row>
    <row r="8273" spans="2:2">
      <c r="B8273" s="3"/>
    </row>
    <row r="8274" spans="2:2">
      <c r="B8274" s="3"/>
    </row>
    <row r="8275" spans="2:2">
      <c r="B8275" s="3"/>
    </row>
    <row r="8276" spans="2:2">
      <c r="B8276" s="3"/>
    </row>
    <row r="8277" spans="2:2">
      <c r="B8277" s="3"/>
    </row>
    <row r="8278" spans="2:2">
      <c r="B8278" s="3"/>
    </row>
    <row r="8279" spans="2:2">
      <c r="B8279" s="3"/>
    </row>
    <row r="8280" spans="2:2">
      <c r="B8280" s="3"/>
    </row>
    <row r="8281" spans="2:2">
      <c r="B8281" s="3"/>
    </row>
    <row r="8282" spans="2:2">
      <c r="B8282" s="3"/>
    </row>
    <row r="8283" spans="2:2">
      <c r="B8283" s="3"/>
    </row>
    <row r="8284" spans="2:2">
      <c r="B8284" s="3"/>
    </row>
    <row r="8285" spans="2:2">
      <c r="B8285" s="3"/>
    </row>
    <row r="8286" spans="2:2">
      <c r="B8286" s="3"/>
    </row>
    <row r="8287" spans="2:2">
      <c r="B8287" s="3"/>
    </row>
    <row r="8288" spans="2:2">
      <c r="B8288" s="3"/>
    </row>
    <row r="8289" spans="2:2">
      <c r="B8289" s="3"/>
    </row>
    <row r="8290" spans="2:2">
      <c r="B8290" s="3"/>
    </row>
    <row r="8291" spans="2:2">
      <c r="B8291" s="3"/>
    </row>
    <row r="8292" spans="2:2">
      <c r="B8292" s="3"/>
    </row>
    <row r="8293" spans="2:2">
      <c r="B8293" s="3"/>
    </row>
    <row r="8294" spans="2:2">
      <c r="B8294" s="3"/>
    </row>
    <row r="8295" spans="2:2">
      <c r="B8295" s="3"/>
    </row>
    <row r="8296" spans="2:2">
      <c r="B8296" s="3"/>
    </row>
    <row r="8297" spans="2:2">
      <c r="B8297" s="3"/>
    </row>
    <row r="8298" spans="2:2">
      <c r="B8298" s="3"/>
    </row>
    <row r="8299" spans="2:2">
      <c r="B8299" s="3"/>
    </row>
    <row r="8300" spans="2:2">
      <c r="B8300" s="3"/>
    </row>
    <row r="8301" spans="2:2">
      <c r="B8301" s="3"/>
    </row>
    <row r="8302" spans="2:2">
      <c r="B8302" s="3"/>
    </row>
    <row r="8303" spans="2:2">
      <c r="B8303" s="3"/>
    </row>
    <row r="8304" spans="2:2">
      <c r="B8304" s="3"/>
    </row>
    <row r="8305" spans="2:2">
      <c r="B8305" s="3"/>
    </row>
    <row r="8306" spans="2:2">
      <c r="B8306" s="3"/>
    </row>
    <row r="8307" spans="2:2">
      <c r="B8307" s="3"/>
    </row>
    <row r="8308" spans="2:2">
      <c r="B8308" s="3"/>
    </row>
    <row r="8309" spans="2:2">
      <c r="B8309" s="3"/>
    </row>
    <row r="8310" spans="2:2">
      <c r="B8310" s="3"/>
    </row>
    <row r="8311" spans="2:2">
      <c r="B8311" s="3"/>
    </row>
    <row r="8312" spans="2:2">
      <c r="B8312" s="3"/>
    </row>
    <row r="8313" spans="2:2">
      <c r="B8313" s="3"/>
    </row>
    <row r="8314" spans="2:2">
      <c r="B8314" s="3"/>
    </row>
    <row r="8315" spans="2:2">
      <c r="B8315" s="3"/>
    </row>
    <row r="8316" spans="2:2">
      <c r="B8316" s="3"/>
    </row>
    <row r="8317" spans="2:2">
      <c r="B8317" s="3"/>
    </row>
    <row r="8318" spans="2:2">
      <c r="B8318" s="3"/>
    </row>
    <row r="8319" spans="2:2">
      <c r="B8319" s="3"/>
    </row>
    <row r="8320" spans="2:2">
      <c r="B8320" s="3"/>
    </row>
    <row r="8321" spans="2:2">
      <c r="B8321" s="3"/>
    </row>
    <row r="8322" spans="2:2">
      <c r="B8322" s="3"/>
    </row>
    <row r="8323" spans="2:2">
      <c r="B8323" s="3"/>
    </row>
    <row r="8324" spans="2:2">
      <c r="B8324" s="3"/>
    </row>
    <row r="8325" spans="2:2">
      <c r="B8325" s="3"/>
    </row>
    <row r="8326" spans="2:2">
      <c r="B8326" s="3"/>
    </row>
    <row r="8327" spans="2:2">
      <c r="B8327" s="3"/>
    </row>
    <row r="8328" spans="2:2">
      <c r="B8328" s="3"/>
    </row>
    <row r="8329" spans="2:2">
      <c r="B8329" s="3"/>
    </row>
    <row r="8330" spans="2:2">
      <c r="B8330" s="3"/>
    </row>
    <row r="8331" spans="2:2">
      <c r="B8331" s="3"/>
    </row>
    <row r="8332" spans="2:2">
      <c r="B8332" s="3"/>
    </row>
    <row r="8333" spans="2:2">
      <c r="B8333" s="3"/>
    </row>
    <row r="8334" spans="2:2">
      <c r="B8334" s="3"/>
    </row>
    <row r="8335" spans="2:2">
      <c r="B8335" s="3"/>
    </row>
    <row r="8336" spans="2:2">
      <c r="B8336" s="3"/>
    </row>
    <row r="8337" spans="2:2">
      <c r="B8337" s="3"/>
    </row>
    <row r="8338" spans="2:2">
      <c r="B8338" s="3"/>
    </row>
    <row r="8339" spans="2:2">
      <c r="B8339" s="3"/>
    </row>
    <row r="8340" spans="2:2">
      <c r="B8340" s="3"/>
    </row>
    <row r="8341" spans="2:2">
      <c r="B8341" s="3"/>
    </row>
    <row r="8342" spans="2:2">
      <c r="B8342" s="3"/>
    </row>
    <row r="8343" spans="2:2">
      <c r="B8343" s="3"/>
    </row>
    <row r="8344" spans="2:2">
      <c r="B8344" s="3"/>
    </row>
    <row r="8345" spans="2:2">
      <c r="B8345" s="3"/>
    </row>
    <row r="8346" spans="2:2">
      <c r="B8346" s="3"/>
    </row>
    <row r="8347" spans="2:2">
      <c r="B8347" s="3"/>
    </row>
    <row r="8348" spans="2:2">
      <c r="B8348" s="3"/>
    </row>
    <row r="8349" spans="2:2">
      <c r="B8349" s="3"/>
    </row>
    <row r="8350" spans="2:2">
      <c r="B8350" s="3"/>
    </row>
    <row r="8351" spans="2:2">
      <c r="B8351" s="3"/>
    </row>
    <row r="8352" spans="2:2">
      <c r="B8352" s="3"/>
    </row>
    <row r="8353" spans="2:2">
      <c r="B8353" s="3"/>
    </row>
    <row r="8354" spans="2:2">
      <c r="B8354" s="3"/>
    </row>
    <row r="8355" spans="2:2">
      <c r="B8355" s="3"/>
    </row>
    <row r="8356" spans="2:2">
      <c r="B8356" s="3"/>
    </row>
    <row r="8357" spans="2:2">
      <c r="B8357" s="3"/>
    </row>
    <row r="8358" spans="2:2">
      <c r="B8358" s="3"/>
    </row>
    <row r="8359" spans="2:2">
      <c r="B8359" s="3"/>
    </row>
    <row r="8360" spans="2:2">
      <c r="B8360" s="3"/>
    </row>
    <row r="8361" spans="2:2">
      <c r="B8361" s="3"/>
    </row>
    <row r="8362" spans="2:2">
      <c r="B8362" s="3"/>
    </row>
    <row r="8363" spans="2:2">
      <c r="B8363" s="3"/>
    </row>
    <row r="8364" spans="2:2">
      <c r="B8364" s="3"/>
    </row>
    <row r="8365" spans="2:2">
      <c r="B8365" s="3"/>
    </row>
    <row r="8366" spans="2:2">
      <c r="B8366" s="3"/>
    </row>
    <row r="8367" spans="2:2">
      <c r="B8367" s="3"/>
    </row>
    <row r="8368" spans="2:2">
      <c r="B8368" s="3"/>
    </row>
    <row r="8369" spans="2:2">
      <c r="B8369" s="3"/>
    </row>
    <row r="8370" spans="2:2">
      <c r="B8370" s="3"/>
    </row>
    <row r="8371" spans="2:2">
      <c r="B8371" s="3"/>
    </row>
    <row r="8372" spans="2:2">
      <c r="B8372" s="3"/>
    </row>
    <row r="8373" spans="2:2">
      <c r="B8373" s="3"/>
    </row>
    <row r="8374" spans="2:2">
      <c r="B8374" s="3"/>
    </row>
    <row r="8375" spans="2:2">
      <c r="B8375" s="3"/>
    </row>
    <row r="8376" spans="2:2">
      <c r="B8376" s="3"/>
    </row>
    <row r="8377" spans="2:2">
      <c r="B8377" s="3"/>
    </row>
    <row r="8378" spans="2:2">
      <c r="B8378" s="3"/>
    </row>
    <row r="8379" spans="2:2">
      <c r="B8379" s="3"/>
    </row>
    <row r="8380" spans="2:2">
      <c r="B8380" s="3"/>
    </row>
    <row r="8381" spans="2:2">
      <c r="B8381" s="3"/>
    </row>
    <row r="8382" spans="2:2">
      <c r="B8382" s="3"/>
    </row>
    <row r="8383" spans="2:2">
      <c r="B8383" s="3"/>
    </row>
    <row r="8384" spans="2:2">
      <c r="B8384" s="3"/>
    </row>
    <row r="8385" spans="2:2">
      <c r="B8385" s="3"/>
    </row>
    <row r="8386" spans="2:2">
      <c r="B8386" s="3"/>
    </row>
    <row r="8387" spans="2:2">
      <c r="B8387" s="3"/>
    </row>
    <row r="8388" spans="2:2">
      <c r="B8388" s="3"/>
    </row>
    <row r="8389" spans="2:2">
      <c r="B8389" s="3"/>
    </row>
    <row r="8390" spans="2:2">
      <c r="B8390" s="3"/>
    </row>
    <row r="8391" spans="2:2">
      <c r="B8391" s="3"/>
    </row>
    <row r="8392" spans="2:2">
      <c r="B8392" s="3"/>
    </row>
    <row r="8393" spans="2:2">
      <c r="B8393" s="3"/>
    </row>
    <row r="8394" spans="2:2">
      <c r="B8394" s="3"/>
    </row>
    <row r="8395" spans="2:2">
      <c r="B8395" s="3"/>
    </row>
    <row r="8396" spans="2:2">
      <c r="B8396" s="3"/>
    </row>
    <row r="8397" spans="2:2">
      <c r="B8397" s="3"/>
    </row>
    <row r="8398" spans="2:2">
      <c r="B8398" s="3"/>
    </row>
    <row r="8399" spans="2:2">
      <c r="B8399" s="3"/>
    </row>
    <row r="8400" spans="2:2">
      <c r="B8400" s="3"/>
    </row>
    <row r="8401" spans="2:2">
      <c r="B8401" s="3"/>
    </row>
    <row r="8402" spans="2:2">
      <c r="B8402" s="3"/>
    </row>
    <row r="8403" spans="2:2">
      <c r="B8403" s="3"/>
    </row>
    <row r="8404" spans="2:2">
      <c r="B8404" s="3"/>
    </row>
    <row r="8405" spans="2:2">
      <c r="B8405" s="3"/>
    </row>
    <row r="8406" spans="2:2">
      <c r="B8406" s="3"/>
    </row>
    <row r="8407" spans="2:2">
      <c r="B8407" s="3"/>
    </row>
    <row r="8408" spans="2:2">
      <c r="B8408" s="3"/>
    </row>
    <row r="8409" spans="2:2">
      <c r="B8409" s="3"/>
    </row>
    <row r="8410" spans="2:2">
      <c r="B8410" s="3"/>
    </row>
    <row r="8411" spans="2:2">
      <c r="B8411" s="3"/>
    </row>
    <row r="8412" spans="2:2">
      <c r="B8412" s="3"/>
    </row>
    <row r="8413" spans="2:2">
      <c r="B8413" s="3"/>
    </row>
    <row r="8414" spans="2:2">
      <c r="B8414" s="3"/>
    </row>
    <row r="8415" spans="2:2">
      <c r="B8415" s="3"/>
    </row>
    <row r="8416" spans="2:2">
      <c r="B8416" s="3"/>
    </row>
    <row r="8417" spans="2:2">
      <c r="B8417" s="3"/>
    </row>
    <row r="8418" spans="2:2">
      <c r="B8418" s="3"/>
    </row>
    <row r="8419" spans="2:2">
      <c r="B8419" s="3"/>
    </row>
    <row r="8420" spans="2:2">
      <c r="B8420" s="3"/>
    </row>
    <row r="8421" spans="2:2">
      <c r="B8421" s="3"/>
    </row>
    <row r="8422" spans="2:2">
      <c r="B8422" s="3"/>
    </row>
    <row r="8423" spans="2:2">
      <c r="B8423" s="3"/>
    </row>
    <row r="8424" spans="2:2">
      <c r="B8424" s="3"/>
    </row>
    <row r="8425" spans="2:2">
      <c r="B8425" s="3"/>
    </row>
    <row r="8426" spans="2:2">
      <c r="B8426" s="3"/>
    </row>
    <row r="8427" spans="2:2">
      <c r="B8427" s="3"/>
    </row>
    <row r="8428" spans="2:2">
      <c r="B8428" s="3"/>
    </row>
    <row r="8429" spans="2:2">
      <c r="B8429" s="3"/>
    </row>
    <row r="8430" spans="2:2">
      <c r="B8430" s="3"/>
    </row>
    <row r="8431" spans="2:2">
      <c r="B8431" s="3"/>
    </row>
    <row r="8432" spans="2:2">
      <c r="B8432" s="3"/>
    </row>
    <row r="8433" spans="2:2">
      <c r="B8433" s="3"/>
    </row>
    <row r="8434" spans="2:2">
      <c r="B8434" s="3"/>
    </row>
    <row r="8435" spans="2:2">
      <c r="B8435" s="3"/>
    </row>
    <row r="8436" spans="2:2">
      <c r="B8436" s="3"/>
    </row>
    <row r="8437" spans="2:2">
      <c r="B8437" s="3"/>
    </row>
    <row r="8438" spans="2:2">
      <c r="B8438" s="3"/>
    </row>
    <row r="8439" spans="2:2">
      <c r="B8439" s="3"/>
    </row>
    <row r="8440" spans="2:2">
      <c r="B8440" s="3"/>
    </row>
    <row r="8441" spans="2:2">
      <c r="B8441" s="3"/>
    </row>
    <row r="8442" spans="2:2">
      <c r="B8442" s="3"/>
    </row>
    <row r="8443" spans="2:2">
      <c r="B8443" s="3"/>
    </row>
    <row r="8444" spans="2:2">
      <c r="B8444" s="3"/>
    </row>
    <row r="8445" spans="2:2">
      <c r="B8445" s="3"/>
    </row>
    <row r="8446" spans="2:2">
      <c r="B8446" s="3"/>
    </row>
    <row r="8447" spans="2:2">
      <c r="B8447" s="3"/>
    </row>
    <row r="8448" spans="2:2">
      <c r="B8448" s="3"/>
    </row>
    <row r="8449" spans="2:2">
      <c r="B8449" s="3"/>
    </row>
    <row r="8450" spans="2:2">
      <c r="B8450" s="3"/>
    </row>
    <row r="8451" spans="2:2">
      <c r="B8451" s="3"/>
    </row>
    <row r="8452" spans="2:2">
      <c r="B8452" s="3"/>
    </row>
    <row r="8453" spans="2:2">
      <c r="B8453" s="3"/>
    </row>
    <row r="8454" spans="2:2">
      <c r="B8454" s="3"/>
    </row>
    <row r="8455" spans="2:2">
      <c r="B8455" s="3"/>
    </row>
    <row r="8456" spans="2:2">
      <c r="B8456" s="3"/>
    </row>
    <row r="8457" spans="2:2">
      <c r="B8457" s="3"/>
    </row>
    <row r="8458" spans="2:2">
      <c r="B8458" s="3"/>
    </row>
    <row r="8459" spans="2:2">
      <c r="B8459" s="3"/>
    </row>
    <row r="8460" spans="2:2">
      <c r="B8460" s="3"/>
    </row>
    <row r="8461" spans="2:2">
      <c r="B8461" s="3"/>
    </row>
    <row r="8462" spans="2:2">
      <c r="B8462" s="3"/>
    </row>
    <row r="8463" spans="2:2">
      <c r="B8463" s="3"/>
    </row>
    <row r="8464" spans="2:2">
      <c r="B8464" s="3"/>
    </row>
    <row r="8465" spans="2:2">
      <c r="B8465" s="3"/>
    </row>
    <row r="8466" spans="2:2">
      <c r="B8466" s="3"/>
    </row>
    <row r="8467" spans="2:2">
      <c r="B8467" s="3"/>
    </row>
    <row r="8468" spans="2:2">
      <c r="B8468" s="3"/>
    </row>
    <row r="8469" spans="2:2">
      <c r="B8469" s="3"/>
    </row>
    <row r="8470" spans="2:2">
      <c r="B8470" s="3"/>
    </row>
    <row r="8471" spans="2:2">
      <c r="B8471" s="3"/>
    </row>
    <row r="8472" spans="2:2">
      <c r="B8472" s="3"/>
    </row>
    <row r="8473" spans="2:2">
      <c r="B8473" s="3"/>
    </row>
    <row r="8474" spans="2:2">
      <c r="B8474" s="3"/>
    </row>
    <row r="8475" spans="2:2">
      <c r="B8475" s="3"/>
    </row>
    <row r="8476" spans="2:2">
      <c r="B8476" s="3"/>
    </row>
    <row r="8477" spans="2:2">
      <c r="B8477" s="3"/>
    </row>
    <row r="8478" spans="2:2">
      <c r="B8478" s="3"/>
    </row>
    <row r="8479" spans="2:2">
      <c r="B8479" s="3"/>
    </row>
    <row r="8480" spans="2:2">
      <c r="B8480" s="3"/>
    </row>
    <row r="8481" spans="2:2">
      <c r="B8481" s="3"/>
    </row>
    <row r="8482" spans="2:2">
      <c r="B8482" s="3"/>
    </row>
    <row r="8483" spans="2:2">
      <c r="B8483" s="3"/>
    </row>
    <row r="8484" spans="2:2">
      <c r="B8484" s="3"/>
    </row>
    <row r="8485" spans="2:2">
      <c r="B8485" s="3"/>
    </row>
    <row r="8486" spans="2:2">
      <c r="B8486" s="3"/>
    </row>
    <row r="8487" spans="2:2">
      <c r="B8487" s="3"/>
    </row>
    <row r="8488" spans="2:2">
      <c r="B8488" s="3"/>
    </row>
    <row r="8489" spans="2:2">
      <c r="B8489" s="3"/>
    </row>
    <row r="8490" spans="2:2">
      <c r="B8490" s="3"/>
    </row>
    <row r="8491" spans="2:2">
      <c r="B8491" s="3"/>
    </row>
    <row r="8492" spans="2:2">
      <c r="B8492" s="3"/>
    </row>
    <row r="8493" spans="2:2">
      <c r="B8493" s="3"/>
    </row>
    <row r="8494" spans="2:2">
      <c r="B8494" s="3"/>
    </row>
    <row r="8495" spans="2:2">
      <c r="B8495" s="3"/>
    </row>
    <row r="8496" spans="2:2">
      <c r="B8496" s="3"/>
    </row>
    <row r="8497" spans="2:2">
      <c r="B8497" s="3"/>
    </row>
    <row r="8498" spans="2:2">
      <c r="B8498" s="3"/>
    </row>
    <row r="8499" spans="2:2">
      <c r="B8499" s="3"/>
    </row>
    <row r="8500" spans="2:2">
      <c r="B8500" s="3"/>
    </row>
    <row r="8501" spans="2:2">
      <c r="B8501" s="3"/>
    </row>
    <row r="8502" spans="2:2">
      <c r="B8502" s="3"/>
    </row>
    <row r="8503" spans="2:2">
      <c r="B8503" s="3"/>
    </row>
    <row r="8504" spans="2:2">
      <c r="B8504" s="3"/>
    </row>
    <row r="8505" spans="2:2">
      <c r="B8505" s="3"/>
    </row>
    <row r="8506" spans="2:2">
      <c r="B8506" s="3"/>
    </row>
    <row r="8507" spans="2:2">
      <c r="B8507" s="3"/>
    </row>
    <row r="8508" spans="2:2">
      <c r="B8508" s="3"/>
    </row>
    <row r="8509" spans="2:2">
      <c r="B8509" s="3"/>
    </row>
    <row r="8510" spans="2:2">
      <c r="B8510" s="3"/>
    </row>
    <row r="8511" spans="2:2">
      <c r="B8511" s="3"/>
    </row>
    <row r="8512" spans="2:2">
      <c r="B8512" s="3"/>
    </row>
    <row r="8513" spans="2:2">
      <c r="B8513" s="3"/>
    </row>
    <row r="8514" spans="2:2">
      <c r="B8514" s="3"/>
    </row>
    <row r="8515" spans="2:2">
      <c r="B8515" s="3"/>
    </row>
    <row r="8516" spans="2:2">
      <c r="B8516" s="3"/>
    </row>
    <row r="8517" spans="2:2">
      <c r="B8517" s="3"/>
    </row>
    <row r="8518" spans="2:2">
      <c r="B8518" s="3"/>
    </row>
    <row r="8519" spans="2:2">
      <c r="B8519" s="3"/>
    </row>
    <row r="8520" spans="2:2">
      <c r="B8520" s="3"/>
    </row>
    <row r="8521" spans="2:2">
      <c r="B8521" s="3"/>
    </row>
    <row r="8522" spans="2:2">
      <c r="B8522" s="3"/>
    </row>
    <row r="8523" spans="2:2">
      <c r="B8523" s="3"/>
    </row>
    <row r="8524" spans="2:2">
      <c r="B8524" s="3"/>
    </row>
    <row r="8525" spans="2:2">
      <c r="B8525" s="3"/>
    </row>
    <row r="8526" spans="2:2">
      <c r="B8526" s="3"/>
    </row>
    <row r="8527" spans="2:2">
      <c r="B8527" s="3"/>
    </row>
    <row r="8528" spans="2:2">
      <c r="B8528" s="3"/>
    </row>
    <row r="8529" spans="2:2">
      <c r="B8529" s="3"/>
    </row>
    <row r="8530" spans="2:2">
      <c r="B8530" s="3"/>
    </row>
    <row r="8531" spans="2:2">
      <c r="B8531" s="3"/>
    </row>
    <row r="8532" spans="2:2">
      <c r="B8532" s="3"/>
    </row>
    <row r="8533" spans="2:2">
      <c r="B8533" s="3"/>
    </row>
    <row r="8534" spans="2:2">
      <c r="B8534" s="3"/>
    </row>
    <row r="8535" spans="2:2">
      <c r="B8535" s="3"/>
    </row>
    <row r="8536" spans="2:2">
      <c r="B8536" s="3"/>
    </row>
    <row r="8537" spans="2:2">
      <c r="B8537" s="3"/>
    </row>
    <row r="8538" spans="2:2">
      <c r="B8538" s="3"/>
    </row>
    <row r="8539" spans="2:2">
      <c r="B8539" s="3"/>
    </row>
    <row r="8540" spans="2:2">
      <c r="B8540" s="3"/>
    </row>
    <row r="8541" spans="2:2">
      <c r="B8541" s="3"/>
    </row>
    <row r="8542" spans="2:2">
      <c r="B8542" s="3"/>
    </row>
    <row r="8543" spans="2:2">
      <c r="B8543" s="3"/>
    </row>
    <row r="8544" spans="2:2">
      <c r="B8544" s="3"/>
    </row>
    <row r="8545" spans="2:2">
      <c r="B8545" s="3"/>
    </row>
    <row r="8546" spans="2:2">
      <c r="B8546" s="3"/>
    </row>
    <row r="8547" spans="2:2">
      <c r="B8547" s="3"/>
    </row>
    <row r="8548" spans="2:2">
      <c r="B8548" s="3"/>
    </row>
    <row r="8549" spans="2:2">
      <c r="B8549" s="3"/>
    </row>
    <row r="8550" spans="2:2">
      <c r="B8550" s="3"/>
    </row>
    <row r="8551" spans="2:2">
      <c r="B8551" s="3"/>
    </row>
    <row r="8552" spans="2:2">
      <c r="B8552" s="3"/>
    </row>
    <row r="8553" spans="2:2">
      <c r="B8553" s="3"/>
    </row>
    <row r="8554" spans="2:2">
      <c r="B8554" s="3"/>
    </row>
    <row r="8555" spans="2:2">
      <c r="B8555" s="3"/>
    </row>
    <row r="8556" spans="2:2">
      <c r="B8556" s="3"/>
    </row>
    <row r="8557" spans="2:2">
      <c r="B8557" s="3"/>
    </row>
    <row r="8558" spans="2:2">
      <c r="B8558" s="3"/>
    </row>
    <row r="8559" spans="2:2">
      <c r="B8559" s="3"/>
    </row>
    <row r="8560" spans="2:2">
      <c r="B8560" s="3"/>
    </row>
    <row r="8561" spans="2:2">
      <c r="B8561" s="3"/>
    </row>
    <row r="8562" spans="2:2">
      <c r="B8562" s="3"/>
    </row>
    <row r="8563" spans="2:2">
      <c r="B8563" s="3"/>
    </row>
    <row r="8564" spans="2:2">
      <c r="B8564" s="3"/>
    </row>
    <row r="8565" spans="2:2">
      <c r="B8565" s="3"/>
    </row>
    <row r="8566" spans="2:2">
      <c r="B8566" s="3"/>
    </row>
    <row r="8567" spans="2:2">
      <c r="B8567" s="3"/>
    </row>
    <row r="8568" spans="2:2">
      <c r="B8568" s="3"/>
    </row>
    <row r="8569" spans="2:2">
      <c r="B8569" s="3"/>
    </row>
    <row r="8570" spans="2:2">
      <c r="B8570" s="3"/>
    </row>
    <row r="8571" spans="2:2">
      <c r="B8571" s="3"/>
    </row>
    <row r="8572" spans="2:2">
      <c r="B8572" s="3"/>
    </row>
    <row r="8573" spans="2:2">
      <c r="B8573" s="3"/>
    </row>
    <row r="8574" spans="2:2">
      <c r="B8574" s="3"/>
    </row>
    <row r="8575" spans="2:2">
      <c r="B8575" s="3"/>
    </row>
    <row r="8576" spans="2:2">
      <c r="B8576" s="3"/>
    </row>
    <row r="8577" spans="2:2">
      <c r="B8577" s="3"/>
    </row>
    <row r="8578" spans="2:2">
      <c r="B8578" s="3"/>
    </row>
    <row r="8579" spans="2:2">
      <c r="B8579" s="3"/>
    </row>
    <row r="8580" spans="2:2">
      <c r="B8580" s="3"/>
    </row>
    <row r="8581" spans="2:2">
      <c r="B8581" s="3"/>
    </row>
    <row r="8582" spans="2:2">
      <c r="B8582" s="3"/>
    </row>
    <row r="8583" spans="2:2">
      <c r="B8583" s="3"/>
    </row>
    <row r="8584" spans="2:2">
      <c r="B8584" s="3"/>
    </row>
    <row r="8585" spans="2:2">
      <c r="B8585" s="3"/>
    </row>
    <row r="8586" spans="2:2">
      <c r="B8586" s="3"/>
    </row>
    <row r="8587" spans="2:2">
      <c r="B8587" s="3"/>
    </row>
    <row r="8588" spans="2:2">
      <c r="B8588" s="3"/>
    </row>
    <row r="8589" spans="2:2">
      <c r="B8589" s="3"/>
    </row>
    <row r="8590" spans="2:2">
      <c r="B8590" s="3"/>
    </row>
    <row r="8591" spans="2:2">
      <c r="B8591" s="3"/>
    </row>
    <row r="8592" spans="2:2">
      <c r="B8592" s="3"/>
    </row>
    <row r="8593" spans="2:2">
      <c r="B8593" s="3"/>
    </row>
    <row r="8594" spans="2:2">
      <c r="B8594" s="3"/>
    </row>
    <row r="8595" spans="2:2">
      <c r="B8595" s="3"/>
    </row>
    <row r="8596" spans="2:2">
      <c r="B8596" s="3"/>
    </row>
    <row r="8597" spans="2:2">
      <c r="B8597" s="3"/>
    </row>
    <row r="8598" spans="2:2">
      <c r="B8598" s="3"/>
    </row>
    <row r="8599" spans="2:2">
      <c r="B8599" s="3"/>
    </row>
    <row r="8600" spans="2:2">
      <c r="B8600" s="3"/>
    </row>
    <row r="8601" spans="2:2">
      <c r="B8601" s="3"/>
    </row>
    <row r="8602" spans="2:2">
      <c r="B8602" s="3"/>
    </row>
    <row r="8603" spans="2:2">
      <c r="B8603" s="3"/>
    </row>
    <row r="8604" spans="2:2">
      <c r="B8604" s="3"/>
    </row>
    <row r="8605" spans="2:2">
      <c r="B8605" s="3"/>
    </row>
    <row r="8606" spans="2:2">
      <c r="B8606" s="3"/>
    </row>
    <row r="8607" spans="2:2">
      <c r="B8607" s="3"/>
    </row>
    <row r="8608" spans="2:2">
      <c r="B8608" s="3"/>
    </row>
    <row r="8609" spans="2:2">
      <c r="B8609" s="3"/>
    </row>
    <row r="8610" spans="2:2">
      <c r="B8610" s="3"/>
    </row>
    <row r="8611" spans="2:2">
      <c r="B8611" s="3"/>
    </row>
    <row r="8612" spans="2:2">
      <c r="B8612" s="3"/>
    </row>
    <row r="8613" spans="2:2">
      <c r="B8613" s="3"/>
    </row>
    <row r="8614" spans="2:2">
      <c r="B8614" s="3"/>
    </row>
    <row r="8615" spans="2:2">
      <c r="B8615" s="3"/>
    </row>
    <row r="8616" spans="2:2">
      <c r="B8616" s="3"/>
    </row>
    <row r="8617" spans="2:2">
      <c r="B8617" s="3"/>
    </row>
    <row r="8618" spans="2:2">
      <c r="B8618" s="3"/>
    </row>
    <row r="8619" spans="2:2">
      <c r="B8619" s="3"/>
    </row>
    <row r="8620" spans="2:2">
      <c r="B8620" s="3"/>
    </row>
    <row r="8621" spans="2:2">
      <c r="B8621" s="3"/>
    </row>
    <row r="8622" spans="2:2">
      <c r="B8622" s="3"/>
    </row>
    <row r="8623" spans="2:2">
      <c r="B8623" s="3"/>
    </row>
    <row r="8624" spans="2:2">
      <c r="B8624" s="3"/>
    </row>
    <row r="8625" spans="2:2">
      <c r="B8625" s="3"/>
    </row>
    <row r="8626" spans="2:2">
      <c r="B8626" s="3"/>
    </row>
    <row r="8627" spans="2:2">
      <c r="B8627" s="3"/>
    </row>
    <row r="8628" spans="2:2">
      <c r="B8628" s="3"/>
    </row>
    <row r="8629" spans="2:2">
      <c r="B8629" s="3"/>
    </row>
    <row r="8630" spans="2:2">
      <c r="B8630" s="3"/>
    </row>
    <row r="8631" spans="2:2">
      <c r="B8631" s="3"/>
    </row>
    <row r="8632" spans="2:2">
      <c r="B8632" s="3"/>
    </row>
    <row r="8633" spans="2:2">
      <c r="B8633" s="3"/>
    </row>
    <row r="8634" spans="2:2">
      <c r="B8634" s="3"/>
    </row>
    <row r="8635" spans="2:2">
      <c r="B8635" s="3"/>
    </row>
    <row r="8636" spans="2:2">
      <c r="B8636" s="3"/>
    </row>
    <row r="8637" spans="2:2">
      <c r="B8637" s="3"/>
    </row>
    <row r="8638" spans="2:2">
      <c r="B8638" s="3"/>
    </row>
    <row r="8639" spans="2:2">
      <c r="B8639" s="3"/>
    </row>
    <row r="8640" spans="2:2">
      <c r="B8640" s="3"/>
    </row>
    <row r="8641" spans="2:2">
      <c r="B8641" s="3"/>
    </row>
    <row r="8642" spans="2:2">
      <c r="B8642" s="3"/>
    </row>
    <row r="8643" spans="2:2">
      <c r="B8643" s="3"/>
    </row>
    <row r="8644" spans="2:2">
      <c r="B8644" s="3"/>
    </row>
    <row r="8645" spans="2:2">
      <c r="B8645" s="3"/>
    </row>
    <row r="8646" spans="2:2">
      <c r="B8646" s="3"/>
    </row>
    <row r="8647" spans="2:2">
      <c r="B8647" s="3"/>
    </row>
    <row r="8648" spans="2:2">
      <c r="B8648" s="3"/>
    </row>
    <row r="8649" spans="2:2">
      <c r="B8649" s="3"/>
    </row>
    <row r="8650" spans="2:2">
      <c r="B8650" s="3"/>
    </row>
    <row r="8651" spans="2:2">
      <c r="B8651" s="3"/>
    </row>
    <row r="8652" spans="2:2">
      <c r="B8652" s="3"/>
    </row>
    <row r="8653" spans="2:2">
      <c r="B8653" s="3"/>
    </row>
    <row r="8654" spans="2:2">
      <c r="B8654" s="3"/>
    </row>
    <row r="8655" spans="2:2">
      <c r="B8655" s="3"/>
    </row>
    <row r="8656" spans="2:2">
      <c r="B8656" s="3"/>
    </row>
    <row r="8657" spans="2:2">
      <c r="B8657" s="3"/>
    </row>
    <row r="8658" spans="2:2">
      <c r="B8658" s="3"/>
    </row>
    <row r="8659" spans="2:2">
      <c r="B8659" s="3"/>
    </row>
    <row r="8660" spans="2:2">
      <c r="B8660" s="3"/>
    </row>
    <row r="8661" spans="2:2">
      <c r="B8661" s="3"/>
    </row>
    <row r="8662" spans="2:2">
      <c r="B8662" s="3"/>
    </row>
    <row r="8663" spans="2:2">
      <c r="B8663" s="3"/>
    </row>
    <row r="8664" spans="2:2">
      <c r="B8664" s="3"/>
    </row>
    <row r="8665" spans="2:2">
      <c r="B8665" s="3"/>
    </row>
    <row r="8666" spans="2:2">
      <c r="B8666" s="3"/>
    </row>
    <row r="8667" spans="2:2">
      <c r="B8667" s="3"/>
    </row>
    <row r="8668" spans="2:2">
      <c r="B8668" s="3"/>
    </row>
    <row r="8669" spans="2:2">
      <c r="B8669" s="3"/>
    </row>
    <row r="8670" spans="2:2">
      <c r="B8670" s="3"/>
    </row>
    <row r="8671" spans="2:2">
      <c r="B8671" s="3"/>
    </row>
    <row r="8672" spans="2:2">
      <c r="B8672" s="3"/>
    </row>
    <row r="8673" spans="2:2">
      <c r="B8673" s="3"/>
    </row>
    <row r="8674" spans="2:2">
      <c r="B8674" s="3"/>
    </row>
    <row r="8675" spans="2:2">
      <c r="B8675" s="3"/>
    </row>
    <row r="8676" spans="2:2">
      <c r="B8676" s="3"/>
    </row>
    <row r="8677" spans="2:2">
      <c r="B8677" s="3"/>
    </row>
    <row r="8678" spans="2:2">
      <c r="B8678" s="3"/>
    </row>
    <row r="8679" spans="2:2">
      <c r="B8679" s="3"/>
    </row>
    <row r="8680" spans="2:2">
      <c r="B8680" s="3"/>
    </row>
    <row r="8681" spans="2:2">
      <c r="B8681" s="3"/>
    </row>
    <row r="8682" spans="2:2">
      <c r="B8682" s="3"/>
    </row>
    <row r="8683" spans="2:2">
      <c r="B8683" s="3"/>
    </row>
    <row r="8684" spans="2:2">
      <c r="B8684" s="3"/>
    </row>
    <row r="8685" spans="2:2">
      <c r="B8685" s="3"/>
    </row>
    <row r="8686" spans="2:2">
      <c r="B8686" s="3"/>
    </row>
    <row r="8687" spans="2:2">
      <c r="B8687" s="3"/>
    </row>
    <row r="8688" spans="2:2">
      <c r="B8688" s="3"/>
    </row>
    <row r="8689" spans="2:2">
      <c r="B8689" s="3"/>
    </row>
    <row r="8690" spans="2:2">
      <c r="B8690" s="3"/>
    </row>
    <row r="8691" spans="2:2">
      <c r="B8691" s="3"/>
    </row>
    <row r="8692" spans="2:2">
      <c r="B8692" s="3"/>
    </row>
    <row r="8693" spans="2:2">
      <c r="B8693" s="3"/>
    </row>
    <row r="8694" spans="2:2">
      <c r="B8694" s="3"/>
    </row>
    <row r="8695" spans="2:2">
      <c r="B8695" s="3"/>
    </row>
    <row r="8696" spans="2:2">
      <c r="B8696" s="3"/>
    </row>
    <row r="8697" spans="2:2">
      <c r="B8697" s="3"/>
    </row>
    <row r="8698" spans="2:2">
      <c r="B8698" s="3"/>
    </row>
    <row r="8699" spans="2:2">
      <c r="B8699" s="3"/>
    </row>
    <row r="8700" spans="2:2">
      <c r="B8700" s="3"/>
    </row>
    <row r="8701" spans="2:2">
      <c r="B8701" s="3"/>
    </row>
    <row r="8702" spans="2:2">
      <c r="B8702" s="3"/>
    </row>
    <row r="8703" spans="2:2">
      <c r="B8703" s="3"/>
    </row>
    <row r="8704" spans="2:2">
      <c r="B8704" s="3"/>
    </row>
    <row r="8705" spans="2:2">
      <c r="B8705" s="3"/>
    </row>
    <row r="8706" spans="2:2">
      <c r="B8706" s="3"/>
    </row>
    <row r="8707" spans="2:2">
      <c r="B8707" s="3"/>
    </row>
    <row r="8708" spans="2:2">
      <c r="B8708" s="3"/>
    </row>
    <row r="8709" spans="2:2">
      <c r="B8709" s="3"/>
    </row>
    <row r="8710" spans="2:2">
      <c r="B8710" s="3"/>
    </row>
    <row r="8711" spans="2:2">
      <c r="B8711" s="3"/>
    </row>
    <row r="8712" spans="2:2">
      <c r="B8712" s="3"/>
    </row>
    <row r="8713" spans="2:2">
      <c r="B8713" s="3"/>
    </row>
    <row r="8714" spans="2:2">
      <c r="B8714" s="3"/>
    </row>
    <row r="8715" spans="2:2">
      <c r="B8715" s="3"/>
    </row>
    <row r="8716" spans="2:2">
      <c r="B8716" s="3"/>
    </row>
    <row r="8717" spans="2:2">
      <c r="B8717" s="3"/>
    </row>
    <row r="8718" spans="2:2">
      <c r="B8718" s="3"/>
    </row>
    <row r="8719" spans="2:2">
      <c r="B8719" s="3"/>
    </row>
    <row r="8720" spans="2:2">
      <c r="B8720" s="3"/>
    </row>
    <row r="8721" spans="2:2">
      <c r="B8721" s="3"/>
    </row>
    <row r="8722" spans="2:2">
      <c r="B8722" s="3"/>
    </row>
    <row r="8723" spans="2:2">
      <c r="B8723" s="3"/>
    </row>
    <row r="8724" spans="2:2">
      <c r="B8724" s="3"/>
    </row>
    <row r="8725" spans="2:2">
      <c r="B8725" s="3"/>
    </row>
    <row r="8726" spans="2:2">
      <c r="B8726" s="3"/>
    </row>
    <row r="8727" spans="2:2">
      <c r="B8727" s="3"/>
    </row>
    <row r="8728" spans="2:2">
      <c r="B8728" s="3"/>
    </row>
    <row r="8729" spans="2:2">
      <c r="B8729" s="3"/>
    </row>
    <row r="8730" spans="2:2">
      <c r="B8730" s="3"/>
    </row>
    <row r="8731" spans="2:2">
      <c r="B8731" s="3"/>
    </row>
    <row r="8732" spans="2:2">
      <c r="B8732" s="3"/>
    </row>
    <row r="8733" spans="2:2">
      <c r="B8733" s="3"/>
    </row>
    <row r="8734" spans="2:2">
      <c r="B8734" s="3"/>
    </row>
    <row r="8735" spans="2:2">
      <c r="B8735" s="3"/>
    </row>
    <row r="8736" spans="2:2">
      <c r="B8736" s="3"/>
    </row>
    <row r="8737" spans="2:2">
      <c r="B8737" s="3"/>
    </row>
    <row r="8738" spans="2:2">
      <c r="B8738" s="3"/>
    </row>
    <row r="8739" spans="2:2">
      <c r="B8739" s="3"/>
    </row>
    <row r="8740" spans="2:2">
      <c r="B8740" s="3"/>
    </row>
    <row r="8741" spans="2:2">
      <c r="B8741" s="3"/>
    </row>
    <row r="8742" spans="2:2">
      <c r="B8742" s="3"/>
    </row>
    <row r="8743" spans="2:2">
      <c r="B8743" s="3"/>
    </row>
    <row r="8744" spans="2:2">
      <c r="B8744" s="3"/>
    </row>
    <row r="8745" spans="2:2">
      <c r="B8745" s="3"/>
    </row>
    <row r="8746" spans="2:2">
      <c r="B8746" s="3"/>
    </row>
    <row r="8747" spans="2:2">
      <c r="B8747" s="3"/>
    </row>
    <row r="8748" spans="2:2">
      <c r="B8748" s="3"/>
    </row>
    <row r="8749" spans="2:2">
      <c r="B8749" s="3"/>
    </row>
    <row r="8750" spans="2:2">
      <c r="B8750" s="3"/>
    </row>
    <row r="8751" spans="2:2">
      <c r="B8751" s="3"/>
    </row>
    <row r="8752" spans="2:2">
      <c r="B8752" s="3"/>
    </row>
    <row r="8753" spans="2:2">
      <c r="B8753" s="3"/>
    </row>
    <row r="8754" spans="2:2">
      <c r="B8754" s="3"/>
    </row>
    <row r="8755" spans="2:2">
      <c r="B8755" s="3"/>
    </row>
    <row r="8756" spans="2:2">
      <c r="B8756" s="3"/>
    </row>
    <row r="8757" spans="2:2">
      <c r="B8757" s="3"/>
    </row>
    <row r="8758" spans="2:2">
      <c r="B8758" s="3"/>
    </row>
    <row r="8759" spans="2:2">
      <c r="B8759" s="3"/>
    </row>
    <row r="8760" spans="2:2">
      <c r="B8760" s="3"/>
    </row>
    <row r="8761" spans="2:2">
      <c r="B8761" s="3"/>
    </row>
    <row r="8762" spans="2:2">
      <c r="B8762" s="3"/>
    </row>
    <row r="8763" spans="2:2">
      <c r="B8763" s="3"/>
    </row>
    <row r="8764" spans="2:2">
      <c r="B8764" s="3"/>
    </row>
    <row r="8765" spans="2:2">
      <c r="B8765" s="3"/>
    </row>
    <row r="8766" spans="2:2">
      <c r="B8766" s="3"/>
    </row>
    <row r="8767" spans="2:2">
      <c r="B8767" s="3"/>
    </row>
    <row r="8768" spans="2:2">
      <c r="B8768" s="3"/>
    </row>
    <row r="8769" spans="2:2">
      <c r="B8769" s="3"/>
    </row>
    <row r="8770" spans="2:2">
      <c r="B8770" s="3"/>
    </row>
    <row r="8771" spans="2:2">
      <c r="B8771" s="3"/>
    </row>
    <row r="8772" spans="2:2">
      <c r="B8772" s="3"/>
    </row>
    <row r="8773" spans="2:2">
      <c r="B8773" s="3"/>
    </row>
    <row r="8774" spans="2:2">
      <c r="B8774" s="3"/>
    </row>
    <row r="8775" spans="2:2">
      <c r="B8775" s="3"/>
    </row>
    <row r="8776" spans="2:2">
      <c r="B8776" s="3"/>
    </row>
    <row r="8777" spans="2:2">
      <c r="B8777" s="3"/>
    </row>
    <row r="8778" spans="2:2">
      <c r="B8778" s="3"/>
    </row>
    <row r="8779" spans="2:2">
      <c r="B8779" s="3"/>
    </row>
    <row r="8780" spans="2:2">
      <c r="B8780" s="3"/>
    </row>
    <row r="8781" spans="2:2">
      <c r="B8781" s="3"/>
    </row>
    <row r="8782" spans="2:2">
      <c r="B8782" s="3"/>
    </row>
    <row r="8783" spans="2:2">
      <c r="B8783" s="3"/>
    </row>
    <row r="8784" spans="2:2">
      <c r="B8784" s="3"/>
    </row>
    <row r="8785" spans="2:2">
      <c r="B8785" s="3"/>
    </row>
    <row r="8786" spans="2:2">
      <c r="B8786" s="3"/>
    </row>
    <row r="8787" spans="2:2">
      <c r="B8787" s="3"/>
    </row>
    <row r="8788" spans="2:2">
      <c r="B8788" s="3"/>
    </row>
    <row r="8789" spans="2:2">
      <c r="B8789" s="3"/>
    </row>
    <row r="8790" spans="2:2">
      <c r="B8790" s="3"/>
    </row>
    <row r="8791" spans="2:2">
      <c r="B8791" s="3"/>
    </row>
    <row r="8792" spans="2:2">
      <c r="B8792" s="3"/>
    </row>
    <row r="8793" spans="2:2">
      <c r="B8793" s="3"/>
    </row>
    <row r="8794" spans="2:2">
      <c r="B8794" s="3"/>
    </row>
    <row r="8795" spans="2:2">
      <c r="B8795" s="3"/>
    </row>
    <row r="8796" spans="2:2">
      <c r="B8796" s="3"/>
    </row>
    <row r="8797" spans="2:2">
      <c r="B8797" s="3"/>
    </row>
    <row r="8798" spans="2:2">
      <c r="B8798" s="3"/>
    </row>
    <row r="8799" spans="2:2">
      <c r="B8799" s="3"/>
    </row>
    <row r="8800" spans="2:2">
      <c r="B8800" s="3"/>
    </row>
    <row r="8801" spans="2:2">
      <c r="B8801" s="3"/>
    </row>
    <row r="8802" spans="2:2">
      <c r="B8802" s="3"/>
    </row>
    <row r="8803" spans="2:2">
      <c r="B8803" s="3"/>
    </row>
    <row r="8804" spans="2:2">
      <c r="B8804" s="3"/>
    </row>
    <row r="8805" spans="2:2">
      <c r="B8805" s="3"/>
    </row>
    <row r="8806" spans="2:2">
      <c r="B8806" s="3"/>
    </row>
    <row r="8807" spans="2:2">
      <c r="B8807" s="3"/>
    </row>
    <row r="8808" spans="2:2">
      <c r="B8808" s="3"/>
    </row>
    <row r="8809" spans="2:2">
      <c r="B8809" s="3"/>
    </row>
    <row r="8810" spans="2:2">
      <c r="B8810" s="3"/>
    </row>
    <row r="8811" spans="2:2">
      <c r="B8811" s="3"/>
    </row>
    <row r="8812" spans="2:2">
      <c r="B8812" s="3"/>
    </row>
    <row r="8813" spans="2:2">
      <c r="B8813" s="3"/>
    </row>
    <row r="8814" spans="2:2">
      <c r="B8814" s="3"/>
    </row>
    <row r="8815" spans="2:2">
      <c r="B8815" s="3"/>
    </row>
    <row r="8816" spans="2:2">
      <c r="B8816" s="3"/>
    </row>
    <row r="8817" spans="2:2">
      <c r="B8817" s="3"/>
    </row>
    <row r="8818" spans="2:2">
      <c r="B8818" s="3"/>
    </row>
    <row r="8819" spans="2:2">
      <c r="B8819" s="3"/>
    </row>
    <row r="8820" spans="2:2">
      <c r="B8820" s="3"/>
    </row>
    <row r="8821" spans="2:2">
      <c r="B8821" s="3"/>
    </row>
    <row r="8822" spans="2:2">
      <c r="B8822" s="3"/>
    </row>
    <row r="8823" spans="2:2">
      <c r="B8823" s="3"/>
    </row>
    <row r="8824" spans="2:2">
      <c r="B8824" s="3"/>
    </row>
    <row r="8825" spans="2:2">
      <c r="B8825" s="3"/>
    </row>
    <row r="8826" spans="2:2">
      <c r="B8826" s="3"/>
    </row>
    <row r="8827" spans="2:2">
      <c r="B8827" s="3"/>
    </row>
    <row r="8828" spans="2:2">
      <c r="B8828" s="3"/>
    </row>
    <row r="8829" spans="2:2">
      <c r="B8829" s="3"/>
    </row>
    <row r="8830" spans="2:2">
      <c r="B8830" s="3"/>
    </row>
    <row r="8831" spans="2:2">
      <c r="B8831" s="3"/>
    </row>
    <row r="8832" spans="2:2">
      <c r="B8832" s="3"/>
    </row>
    <row r="8833" spans="2:2">
      <c r="B8833" s="3"/>
    </row>
    <row r="8834" spans="2:2">
      <c r="B8834" s="3"/>
    </row>
    <row r="8835" spans="2:2">
      <c r="B8835" s="3"/>
    </row>
    <row r="8836" spans="2:2">
      <c r="B8836" s="3"/>
    </row>
    <row r="8837" spans="2:2">
      <c r="B8837" s="3"/>
    </row>
    <row r="8838" spans="2:2">
      <c r="B8838" s="3"/>
    </row>
    <row r="8839" spans="2:2">
      <c r="B8839" s="3"/>
    </row>
    <row r="8840" spans="2:2">
      <c r="B8840" s="3"/>
    </row>
    <row r="8841" spans="2:2">
      <c r="B8841" s="3"/>
    </row>
    <row r="8842" spans="2:2">
      <c r="B8842" s="3"/>
    </row>
    <row r="8843" spans="2:2">
      <c r="B8843" s="3"/>
    </row>
    <row r="8844" spans="2:2">
      <c r="B8844" s="3"/>
    </row>
    <row r="8845" spans="2:2">
      <c r="B8845" s="3"/>
    </row>
    <row r="8846" spans="2:2">
      <c r="B8846" s="3"/>
    </row>
    <row r="8847" spans="2:2">
      <c r="B8847" s="3"/>
    </row>
    <row r="8848" spans="2:2">
      <c r="B8848" s="3"/>
    </row>
    <row r="8849" spans="2:2">
      <c r="B8849" s="3"/>
    </row>
    <row r="8850" spans="2:2">
      <c r="B8850" s="3"/>
    </row>
    <row r="8851" spans="2:2">
      <c r="B8851" s="3"/>
    </row>
    <row r="8852" spans="2:2">
      <c r="B8852" s="3"/>
    </row>
    <row r="8853" spans="2:2">
      <c r="B8853" s="3"/>
    </row>
    <row r="8854" spans="2:2">
      <c r="B8854" s="3"/>
    </row>
    <row r="8855" spans="2:2">
      <c r="B8855" s="3"/>
    </row>
    <row r="8856" spans="2:2">
      <c r="B8856" s="3"/>
    </row>
    <row r="8857" spans="2:2">
      <c r="B8857" s="3"/>
    </row>
    <row r="8858" spans="2:2">
      <c r="B8858" s="3"/>
    </row>
    <row r="8859" spans="2:2">
      <c r="B8859" s="3"/>
    </row>
    <row r="8860" spans="2:2">
      <c r="B8860" s="3"/>
    </row>
    <row r="8861" spans="2:2">
      <c r="B8861" s="3"/>
    </row>
    <row r="8862" spans="2:2">
      <c r="B8862" s="3"/>
    </row>
    <row r="8863" spans="2:2">
      <c r="B8863" s="3"/>
    </row>
    <row r="8864" spans="2:2">
      <c r="B8864" s="3"/>
    </row>
    <row r="8865" spans="2:2">
      <c r="B8865" s="3"/>
    </row>
    <row r="8866" spans="2:2">
      <c r="B8866" s="3"/>
    </row>
    <row r="8867" spans="2:2">
      <c r="B8867" s="3"/>
    </row>
    <row r="8868" spans="2:2">
      <c r="B8868" s="3"/>
    </row>
    <row r="8869" spans="2:2">
      <c r="B8869" s="3"/>
    </row>
    <row r="8870" spans="2:2">
      <c r="B8870" s="3"/>
    </row>
    <row r="8871" spans="2:2">
      <c r="B8871" s="3"/>
    </row>
    <row r="8872" spans="2:2">
      <c r="B8872" s="3"/>
    </row>
    <row r="8873" spans="2:2">
      <c r="B8873" s="3"/>
    </row>
    <row r="8874" spans="2:2">
      <c r="B8874" s="3"/>
    </row>
    <row r="8875" spans="2:2">
      <c r="B8875" s="3"/>
    </row>
    <row r="8876" spans="2:2">
      <c r="B8876" s="3"/>
    </row>
    <row r="8877" spans="2:2">
      <c r="B8877" s="3"/>
    </row>
    <row r="8878" spans="2:2">
      <c r="B8878" s="3"/>
    </row>
    <row r="8879" spans="2:2">
      <c r="B8879" s="3"/>
    </row>
    <row r="8880" spans="2:2">
      <c r="B8880" s="3"/>
    </row>
    <row r="8881" spans="2:2">
      <c r="B8881" s="3"/>
    </row>
    <row r="8882" spans="2:2">
      <c r="B8882" s="3"/>
    </row>
    <row r="8883" spans="2:2">
      <c r="B8883" s="3"/>
    </row>
    <row r="8884" spans="2:2">
      <c r="B8884" s="3"/>
    </row>
    <row r="8885" spans="2:2">
      <c r="B8885" s="3"/>
    </row>
    <row r="8886" spans="2:2">
      <c r="B8886" s="3"/>
    </row>
    <row r="8887" spans="2:2">
      <c r="B8887" s="3"/>
    </row>
    <row r="8888" spans="2:2">
      <c r="B8888" s="3"/>
    </row>
    <row r="8889" spans="2:2">
      <c r="B8889" s="3"/>
    </row>
    <row r="8890" spans="2:2">
      <c r="B8890" s="3"/>
    </row>
    <row r="8891" spans="2:2">
      <c r="B8891" s="3"/>
    </row>
    <row r="8892" spans="2:2">
      <c r="B8892" s="3"/>
    </row>
    <row r="8893" spans="2:2">
      <c r="B8893" s="3"/>
    </row>
    <row r="8894" spans="2:2">
      <c r="B8894" s="3"/>
    </row>
    <row r="8895" spans="2:2">
      <c r="B8895" s="3"/>
    </row>
    <row r="8896" spans="2:2">
      <c r="B8896" s="3"/>
    </row>
    <row r="8897" spans="2:2">
      <c r="B8897" s="3"/>
    </row>
    <row r="8898" spans="2:2">
      <c r="B8898" s="3"/>
    </row>
    <row r="8899" spans="2:2">
      <c r="B8899" s="3"/>
    </row>
    <row r="8900" spans="2:2">
      <c r="B8900" s="3"/>
    </row>
    <row r="8901" spans="2:2">
      <c r="B8901" s="3"/>
    </row>
    <row r="8902" spans="2:2">
      <c r="B8902" s="3"/>
    </row>
    <row r="8903" spans="2:2">
      <c r="B8903" s="3"/>
    </row>
    <row r="8904" spans="2:2">
      <c r="B8904" s="3"/>
    </row>
    <row r="8905" spans="2:2">
      <c r="B8905" s="3"/>
    </row>
    <row r="8906" spans="2:2">
      <c r="B8906" s="3"/>
    </row>
    <row r="8907" spans="2:2">
      <c r="B8907" s="3"/>
    </row>
    <row r="8908" spans="2:2">
      <c r="B8908" s="3"/>
    </row>
    <row r="8909" spans="2:2">
      <c r="B8909" s="3"/>
    </row>
    <row r="8910" spans="2:2">
      <c r="B8910" s="3"/>
    </row>
    <row r="8911" spans="2:2">
      <c r="B8911" s="3"/>
    </row>
    <row r="8912" spans="2:2">
      <c r="B8912" s="3"/>
    </row>
    <row r="8913" spans="2:2">
      <c r="B8913" s="3"/>
    </row>
    <row r="8914" spans="2:2">
      <c r="B8914" s="3"/>
    </row>
    <row r="8915" spans="2:2">
      <c r="B8915" s="3"/>
    </row>
    <row r="8916" spans="2:2">
      <c r="B8916" s="3"/>
    </row>
    <row r="8917" spans="2:2">
      <c r="B8917" s="3"/>
    </row>
    <row r="8918" spans="2:2">
      <c r="B8918" s="3"/>
    </row>
    <row r="8919" spans="2:2">
      <c r="B8919" s="3"/>
    </row>
    <row r="8920" spans="2:2">
      <c r="B8920" s="3"/>
    </row>
    <row r="8921" spans="2:2">
      <c r="B8921" s="3"/>
    </row>
    <row r="8922" spans="2:2">
      <c r="B8922" s="3"/>
    </row>
    <row r="8923" spans="2:2">
      <c r="B8923" s="3"/>
    </row>
    <row r="8924" spans="2:2">
      <c r="B8924" s="3"/>
    </row>
    <row r="8925" spans="2:2">
      <c r="B8925" s="3"/>
    </row>
    <row r="8926" spans="2:2">
      <c r="B8926" s="3"/>
    </row>
    <row r="8927" spans="2:2">
      <c r="B8927" s="3"/>
    </row>
    <row r="8928" spans="2:2">
      <c r="B8928" s="3"/>
    </row>
    <row r="8929" spans="2:2">
      <c r="B8929" s="3"/>
    </row>
    <row r="8930" spans="2:2">
      <c r="B8930" s="3"/>
    </row>
    <row r="8931" spans="2:2">
      <c r="B8931" s="3"/>
    </row>
    <row r="8932" spans="2:2">
      <c r="B8932" s="3"/>
    </row>
    <row r="8933" spans="2:2">
      <c r="B8933" s="3"/>
    </row>
    <row r="8934" spans="2:2">
      <c r="B8934" s="3"/>
    </row>
    <row r="8935" spans="2:2">
      <c r="B8935" s="3"/>
    </row>
    <row r="8936" spans="2:2">
      <c r="B8936" s="3"/>
    </row>
    <row r="8937" spans="2:2">
      <c r="B8937" s="3"/>
    </row>
    <row r="8938" spans="2:2">
      <c r="B8938" s="3"/>
    </row>
    <row r="8939" spans="2:2">
      <c r="B8939" s="3"/>
    </row>
    <row r="8940" spans="2:2">
      <c r="B8940" s="3"/>
    </row>
    <row r="8941" spans="2:2">
      <c r="B8941" s="3"/>
    </row>
    <row r="8942" spans="2:2">
      <c r="B8942" s="3"/>
    </row>
    <row r="8943" spans="2:2">
      <c r="B8943" s="3"/>
    </row>
    <row r="8944" spans="2:2">
      <c r="B8944" s="3"/>
    </row>
    <row r="8945" spans="2:2">
      <c r="B8945" s="3"/>
    </row>
    <row r="8946" spans="2:2">
      <c r="B8946" s="3"/>
    </row>
    <row r="8947" spans="2:2">
      <c r="B8947" s="3"/>
    </row>
    <row r="8948" spans="2:2">
      <c r="B8948" s="3"/>
    </row>
    <row r="8949" spans="2:2">
      <c r="B8949" s="3"/>
    </row>
    <row r="8950" spans="2:2">
      <c r="B8950" s="3"/>
    </row>
    <row r="8951" spans="2:2">
      <c r="B8951" s="3"/>
    </row>
    <row r="8952" spans="2:2">
      <c r="B8952" s="3"/>
    </row>
    <row r="8953" spans="2:2">
      <c r="B8953" s="3"/>
    </row>
    <row r="8954" spans="2:2">
      <c r="B8954" s="3"/>
    </row>
    <row r="8955" spans="2:2">
      <c r="B8955" s="3"/>
    </row>
    <row r="8956" spans="2:2">
      <c r="B8956" s="3"/>
    </row>
    <row r="8957" spans="2:2">
      <c r="B8957" s="3"/>
    </row>
    <row r="8958" spans="2:2">
      <c r="B8958" s="3"/>
    </row>
    <row r="8959" spans="2:2">
      <c r="B8959" s="3"/>
    </row>
    <row r="8960" spans="2:2">
      <c r="B8960" s="3"/>
    </row>
    <row r="8961" spans="2:2">
      <c r="B8961" s="3"/>
    </row>
    <row r="8962" spans="2:2">
      <c r="B8962" s="3"/>
    </row>
    <row r="8963" spans="2:2">
      <c r="B8963" s="3"/>
    </row>
    <row r="8964" spans="2:2">
      <c r="B8964" s="3"/>
    </row>
    <row r="8965" spans="2:2">
      <c r="B8965" s="3"/>
    </row>
    <row r="8966" spans="2:2">
      <c r="B8966" s="3"/>
    </row>
    <row r="8967" spans="2:2">
      <c r="B8967" s="3"/>
    </row>
    <row r="8968" spans="2:2">
      <c r="B8968" s="3"/>
    </row>
    <row r="8969" spans="2:2">
      <c r="B8969" s="3"/>
    </row>
    <row r="8970" spans="2:2">
      <c r="B8970" s="3"/>
    </row>
    <row r="8971" spans="2:2">
      <c r="B8971" s="3"/>
    </row>
    <row r="8972" spans="2:2">
      <c r="B8972" s="3"/>
    </row>
    <row r="8973" spans="2:2">
      <c r="B8973" s="3"/>
    </row>
    <row r="8974" spans="2:2">
      <c r="B8974" s="3"/>
    </row>
    <row r="8975" spans="2:2">
      <c r="B8975" s="3"/>
    </row>
    <row r="8976" spans="2:2">
      <c r="B8976" s="3"/>
    </row>
    <row r="8977" spans="2:2">
      <c r="B8977" s="3"/>
    </row>
    <row r="8978" spans="2:2">
      <c r="B8978" s="3"/>
    </row>
    <row r="8979" spans="2:2">
      <c r="B8979" s="3"/>
    </row>
    <row r="8980" spans="2:2">
      <c r="B8980" s="3"/>
    </row>
    <row r="8981" spans="2:2">
      <c r="B8981" s="3"/>
    </row>
    <row r="8982" spans="2:2">
      <c r="B8982" s="3"/>
    </row>
    <row r="8983" spans="2:2">
      <c r="B8983" s="3"/>
    </row>
    <row r="8984" spans="2:2">
      <c r="B8984" s="3"/>
    </row>
    <row r="8985" spans="2:2">
      <c r="B8985" s="3"/>
    </row>
    <row r="8986" spans="2:2">
      <c r="B8986" s="3"/>
    </row>
    <row r="8987" spans="2:2">
      <c r="B8987" s="3"/>
    </row>
    <row r="8988" spans="2:2">
      <c r="B8988" s="3"/>
    </row>
    <row r="8989" spans="2:2">
      <c r="B8989" s="3"/>
    </row>
    <row r="8990" spans="2:2">
      <c r="B8990" s="3"/>
    </row>
    <row r="8991" spans="2:2">
      <c r="B8991" s="3"/>
    </row>
    <row r="8992" spans="2:2">
      <c r="B8992" s="3"/>
    </row>
    <row r="8993" spans="2:2">
      <c r="B8993" s="3"/>
    </row>
    <row r="8994" spans="2:2">
      <c r="B8994" s="3"/>
    </row>
    <row r="8995" spans="2:2">
      <c r="B8995" s="3"/>
    </row>
    <row r="8996" spans="2:2">
      <c r="B8996" s="3"/>
    </row>
    <row r="8997" spans="2:2">
      <c r="B8997" s="3"/>
    </row>
    <row r="8998" spans="2:2">
      <c r="B8998" s="3"/>
    </row>
    <row r="8999" spans="2:2">
      <c r="B8999" s="3"/>
    </row>
    <row r="9000" spans="2:2">
      <c r="B9000" s="3"/>
    </row>
    <row r="9001" spans="2:2">
      <c r="B9001" s="3"/>
    </row>
    <row r="9002" spans="2:2">
      <c r="B9002" s="3"/>
    </row>
    <row r="9003" spans="2:2">
      <c r="B9003" s="3"/>
    </row>
    <row r="9004" spans="2:2">
      <c r="B9004" s="3"/>
    </row>
    <row r="9005" spans="2:2">
      <c r="B9005" s="3"/>
    </row>
    <row r="9006" spans="2:2">
      <c r="B9006" s="3"/>
    </row>
    <row r="9007" spans="2:2">
      <c r="B9007" s="3"/>
    </row>
    <row r="9008" spans="2:2">
      <c r="B9008" s="3"/>
    </row>
    <row r="9009" spans="2:2">
      <c r="B9009" s="3"/>
    </row>
    <row r="9010" spans="2:2">
      <c r="B9010" s="3"/>
    </row>
    <row r="9011" spans="2:2">
      <c r="B9011" s="3"/>
    </row>
    <row r="9012" spans="2:2">
      <c r="B9012" s="3"/>
    </row>
    <row r="9013" spans="2:2">
      <c r="B9013" s="3"/>
    </row>
    <row r="9014" spans="2:2">
      <c r="B9014" s="3"/>
    </row>
    <row r="9015" spans="2:2">
      <c r="B9015" s="3"/>
    </row>
    <row r="9016" spans="2:2">
      <c r="B9016" s="3"/>
    </row>
    <row r="9017" spans="2:2">
      <c r="B9017" s="3"/>
    </row>
    <row r="9018" spans="2:2">
      <c r="B9018" s="3"/>
    </row>
    <row r="9019" spans="2:2">
      <c r="B9019" s="3"/>
    </row>
    <row r="9020" spans="2:2">
      <c r="B9020" s="3"/>
    </row>
    <row r="9021" spans="2:2">
      <c r="B9021" s="3"/>
    </row>
    <row r="9022" spans="2:2">
      <c r="B9022" s="3"/>
    </row>
    <row r="9023" spans="2:2">
      <c r="B9023" s="3"/>
    </row>
    <row r="9024" spans="2:2">
      <c r="B9024" s="3"/>
    </row>
    <row r="9025" spans="2:2">
      <c r="B9025" s="3"/>
    </row>
    <row r="9026" spans="2:2">
      <c r="B9026" s="3"/>
    </row>
    <row r="9027" spans="2:2">
      <c r="B9027" s="3"/>
    </row>
    <row r="9028" spans="2:2">
      <c r="B9028" s="3"/>
    </row>
    <row r="9029" spans="2:2">
      <c r="B9029" s="3"/>
    </row>
    <row r="9030" spans="2:2">
      <c r="B9030" s="3"/>
    </row>
    <row r="9031" spans="2:2">
      <c r="B9031" s="3"/>
    </row>
    <row r="9032" spans="2:2">
      <c r="B9032" s="3"/>
    </row>
    <row r="9033" spans="2:2">
      <c r="B9033" s="3"/>
    </row>
    <row r="9034" spans="2:2">
      <c r="B9034" s="3"/>
    </row>
    <row r="9035" spans="2:2">
      <c r="B9035" s="3"/>
    </row>
    <row r="9036" spans="2:2">
      <c r="B9036" s="3"/>
    </row>
    <row r="9037" spans="2:2">
      <c r="B9037" s="3"/>
    </row>
    <row r="9038" spans="2:2">
      <c r="B9038" s="3"/>
    </row>
    <row r="9039" spans="2:2">
      <c r="B9039" s="3"/>
    </row>
    <row r="9040" spans="2:2">
      <c r="B9040" s="3"/>
    </row>
    <row r="9041" spans="2:2">
      <c r="B9041" s="3"/>
    </row>
    <row r="9042" spans="2:2">
      <c r="B9042" s="3"/>
    </row>
    <row r="9043" spans="2:2">
      <c r="B9043" s="3"/>
    </row>
    <row r="9044" spans="2:2">
      <c r="B9044" s="3"/>
    </row>
    <row r="9045" spans="2:2">
      <c r="B9045" s="3"/>
    </row>
    <row r="9046" spans="2:2">
      <c r="B9046" s="3"/>
    </row>
    <row r="9047" spans="2:2">
      <c r="B9047" s="3"/>
    </row>
    <row r="9048" spans="2:2">
      <c r="B9048" s="3"/>
    </row>
    <row r="9049" spans="2:2">
      <c r="B9049" s="3"/>
    </row>
    <row r="9050" spans="2:2">
      <c r="B9050" s="3"/>
    </row>
    <row r="9051" spans="2:2">
      <c r="B9051" s="3"/>
    </row>
    <row r="9052" spans="2:2">
      <c r="B9052" s="3"/>
    </row>
    <row r="9053" spans="2:2">
      <c r="B9053" s="3"/>
    </row>
    <row r="9054" spans="2:2">
      <c r="B9054" s="3"/>
    </row>
    <row r="9055" spans="2:2">
      <c r="B9055" s="3"/>
    </row>
    <row r="9056" spans="2:2">
      <c r="B9056" s="3"/>
    </row>
    <row r="9057" spans="2:2">
      <c r="B9057" s="3"/>
    </row>
    <row r="9058" spans="2:2">
      <c r="B9058" s="3"/>
    </row>
    <row r="9059" spans="2:2">
      <c r="B9059" s="3"/>
    </row>
    <row r="9060" spans="2:2">
      <c r="B9060" s="3"/>
    </row>
    <row r="9061" spans="2:2">
      <c r="B9061" s="3"/>
    </row>
    <row r="9062" spans="2:2">
      <c r="B9062" s="3"/>
    </row>
    <row r="9063" spans="2:2">
      <c r="B9063" s="3"/>
    </row>
    <row r="9064" spans="2:2">
      <c r="B9064" s="3"/>
    </row>
    <row r="9065" spans="2:2">
      <c r="B9065" s="3"/>
    </row>
    <row r="9066" spans="2:2">
      <c r="B9066" s="3"/>
    </row>
    <row r="9067" spans="2:2">
      <c r="B9067" s="3"/>
    </row>
    <row r="9068" spans="2:2">
      <c r="B9068" s="3"/>
    </row>
    <row r="9069" spans="2:2">
      <c r="B9069" s="3"/>
    </row>
    <row r="9070" spans="2:2">
      <c r="B9070" s="3"/>
    </row>
    <row r="9071" spans="2:2">
      <c r="B9071" s="3"/>
    </row>
    <row r="9072" spans="2:2">
      <c r="B9072" s="3"/>
    </row>
    <row r="9073" spans="2:2">
      <c r="B9073" s="3"/>
    </row>
    <row r="9074" spans="2:2">
      <c r="B9074" s="3"/>
    </row>
    <row r="9075" spans="2:2">
      <c r="B9075" s="3"/>
    </row>
    <row r="9076" spans="2:2">
      <c r="B9076" s="3"/>
    </row>
    <row r="9077" spans="2:2">
      <c r="B9077" s="3"/>
    </row>
    <row r="9078" spans="2:2">
      <c r="B9078" s="3"/>
    </row>
    <row r="9079" spans="2:2">
      <c r="B9079" s="3"/>
    </row>
    <row r="9080" spans="2:2">
      <c r="B9080" s="3"/>
    </row>
    <row r="9081" spans="2:2">
      <c r="B9081" s="3"/>
    </row>
    <row r="9082" spans="2:2">
      <c r="B9082" s="3"/>
    </row>
    <row r="9083" spans="2:2">
      <c r="B9083" s="3"/>
    </row>
    <row r="9084" spans="2:2">
      <c r="B9084" s="3"/>
    </row>
    <row r="9085" spans="2:2">
      <c r="B9085" s="3"/>
    </row>
    <row r="9086" spans="2:2">
      <c r="B9086" s="3"/>
    </row>
    <row r="9087" spans="2:2">
      <c r="B9087" s="3"/>
    </row>
    <row r="9088" spans="2:2">
      <c r="B9088" s="3"/>
    </row>
    <row r="9089" spans="2:2">
      <c r="B9089" s="3"/>
    </row>
    <row r="9090" spans="2:2">
      <c r="B9090" s="3"/>
    </row>
    <row r="9091" spans="2:2">
      <c r="B9091" s="3"/>
    </row>
    <row r="9092" spans="2:2">
      <c r="B9092" s="3"/>
    </row>
    <row r="9093" spans="2:2">
      <c r="B9093" s="3"/>
    </row>
    <row r="9094" spans="2:2">
      <c r="B9094" s="3"/>
    </row>
    <row r="9095" spans="2:2">
      <c r="B9095" s="3"/>
    </row>
    <row r="9096" spans="2:2">
      <c r="B9096" s="3"/>
    </row>
    <row r="9097" spans="2:2">
      <c r="B9097" s="3"/>
    </row>
    <row r="9098" spans="2:2">
      <c r="B9098" s="3"/>
    </row>
    <row r="9099" spans="2:2">
      <c r="B9099" s="3"/>
    </row>
    <row r="9100" spans="2:2">
      <c r="B9100" s="3"/>
    </row>
    <row r="9101" spans="2:2">
      <c r="B9101" s="3"/>
    </row>
    <row r="9102" spans="2:2">
      <c r="B9102" s="3"/>
    </row>
    <row r="9103" spans="2:2">
      <c r="B9103" s="3"/>
    </row>
    <row r="9104" spans="2:2">
      <c r="B9104" s="3"/>
    </row>
    <row r="9105" spans="2:2">
      <c r="B9105" s="3"/>
    </row>
    <row r="9106" spans="2:2">
      <c r="B9106" s="3"/>
    </row>
    <row r="9107" spans="2:2">
      <c r="B9107" s="3"/>
    </row>
    <row r="9108" spans="2:2">
      <c r="B9108" s="3"/>
    </row>
    <row r="9109" spans="2:2">
      <c r="B9109" s="3"/>
    </row>
    <row r="9110" spans="2:2">
      <c r="B9110" s="3"/>
    </row>
    <row r="9111" spans="2:2">
      <c r="B9111" s="3"/>
    </row>
    <row r="9112" spans="2:2">
      <c r="B9112" s="3"/>
    </row>
    <row r="9113" spans="2:2">
      <c r="B9113" s="3"/>
    </row>
    <row r="9114" spans="2:2">
      <c r="B9114" s="3"/>
    </row>
    <row r="9115" spans="2:2">
      <c r="B9115" s="3"/>
    </row>
    <row r="9116" spans="2:2">
      <c r="B9116" s="3"/>
    </row>
    <row r="9117" spans="2:2">
      <c r="B9117" s="3"/>
    </row>
    <row r="9118" spans="2:2">
      <c r="B9118" s="3"/>
    </row>
    <row r="9119" spans="2:2">
      <c r="B9119" s="3"/>
    </row>
    <row r="9120" spans="2:2">
      <c r="B9120" s="3"/>
    </row>
    <row r="9121" spans="2:2">
      <c r="B9121" s="3"/>
    </row>
    <row r="9122" spans="2:2">
      <c r="B9122" s="3"/>
    </row>
    <row r="9123" spans="2:2">
      <c r="B9123" s="3"/>
    </row>
    <row r="9124" spans="2:2">
      <c r="B9124" s="3"/>
    </row>
    <row r="9125" spans="2:2">
      <c r="B9125" s="3"/>
    </row>
    <row r="9126" spans="2:2">
      <c r="B9126" s="3"/>
    </row>
    <row r="9127" spans="2:2">
      <c r="B9127" s="3"/>
    </row>
    <row r="9128" spans="2:2">
      <c r="B9128" s="3"/>
    </row>
    <row r="9129" spans="2:2">
      <c r="B9129" s="3"/>
    </row>
    <row r="9130" spans="2:2">
      <c r="B9130" s="3"/>
    </row>
    <row r="9131" spans="2:2">
      <c r="B9131" s="3"/>
    </row>
    <row r="9132" spans="2:2">
      <c r="B9132" s="3"/>
    </row>
    <row r="9133" spans="2:2">
      <c r="B9133" s="3"/>
    </row>
    <row r="9134" spans="2:2">
      <c r="B9134" s="3"/>
    </row>
    <row r="9135" spans="2:2">
      <c r="B9135" s="3"/>
    </row>
    <row r="9136" spans="2:2">
      <c r="B9136" s="3"/>
    </row>
    <row r="9137" spans="2:2">
      <c r="B9137" s="3"/>
    </row>
    <row r="9138" spans="2:2">
      <c r="B9138" s="3"/>
    </row>
    <row r="9139" spans="2:2">
      <c r="B9139" s="3"/>
    </row>
    <row r="9140" spans="2:2">
      <c r="B9140" s="3"/>
    </row>
    <row r="9141" spans="2:2">
      <c r="B9141" s="3"/>
    </row>
    <row r="9142" spans="2:2">
      <c r="B9142" s="3"/>
    </row>
    <row r="9143" spans="2:2">
      <c r="B9143" s="3"/>
    </row>
    <row r="9144" spans="2:2">
      <c r="B9144" s="3"/>
    </row>
    <row r="9145" spans="2:2">
      <c r="B9145" s="3"/>
    </row>
    <row r="9146" spans="2:2">
      <c r="B9146" s="3"/>
    </row>
    <row r="9147" spans="2:2">
      <c r="B9147" s="3"/>
    </row>
    <row r="9148" spans="2:2">
      <c r="B9148" s="3"/>
    </row>
    <row r="9149" spans="2:2">
      <c r="B9149" s="3"/>
    </row>
    <row r="9150" spans="2:2">
      <c r="B9150" s="3"/>
    </row>
    <row r="9151" spans="2:2">
      <c r="B9151" s="3"/>
    </row>
    <row r="9152" spans="2:2">
      <c r="B9152" s="3"/>
    </row>
    <row r="9153" spans="2:2">
      <c r="B9153" s="3"/>
    </row>
    <row r="9154" spans="2:2">
      <c r="B9154" s="3"/>
    </row>
    <row r="9155" spans="2:2">
      <c r="B9155" s="3"/>
    </row>
    <row r="9156" spans="2:2">
      <c r="B9156" s="3"/>
    </row>
    <row r="9157" spans="2:2">
      <c r="B9157" s="3"/>
    </row>
    <row r="9158" spans="2:2">
      <c r="B9158" s="3"/>
    </row>
    <row r="9159" spans="2:2">
      <c r="B9159" s="3"/>
    </row>
    <row r="9160" spans="2:2">
      <c r="B9160" s="3"/>
    </row>
    <row r="9161" spans="2:2">
      <c r="B9161" s="3"/>
    </row>
    <row r="9162" spans="2:2">
      <c r="B9162" s="3"/>
    </row>
    <row r="9163" spans="2:2">
      <c r="B9163" s="3"/>
    </row>
    <row r="9164" spans="2:2">
      <c r="B9164" s="3"/>
    </row>
    <row r="9165" spans="2:2">
      <c r="B9165" s="3"/>
    </row>
    <row r="9166" spans="2:2">
      <c r="B9166" s="3"/>
    </row>
    <row r="9167" spans="2:2">
      <c r="B9167" s="3"/>
    </row>
    <row r="9168" spans="2:2">
      <c r="B9168" s="3"/>
    </row>
    <row r="9169" spans="2:2">
      <c r="B9169" s="3"/>
    </row>
    <row r="9170" spans="2:2">
      <c r="B9170" s="3"/>
    </row>
    <row r="9171" spans="2:2">
      <c r="B9171" s="3"/>
    </row>
    <row r="9172" spans="2:2">
      <c r="B9172" s="3"/>
    </row>
    <row r="9173" spans="2:2">
      <c r="B9173" s="3"/>
    </row>
    <row r="9174" spans="2:2">
      <c r="B9174" s="3"/>
    </row>
    <row r="9175" spans="2:2">
      <c r="B9175" s="3"/>
    </row>
    <row r="9176" spans="2:2">
      <c r="B9176" s="3"/>
    </row>
    <row r="9177" spans="2:2">
      <c r="B9177" s="3"/>
    </row>
    <row r="9178" spans="2:2">
      <c r="B9178" s="3"/>
    </row>
    <row r="9179" spans="2:2">
      <c r="B9179" s="3"/>
    </row>
    <row r="9180" spans="2:2">
      <c r="B9180" s="3"/>
    </row>
    <row r="9181" spans="2:2">
      <c r="B9181" s="3"/>
    </row>
    <row r="9182" spans="2:2">
      <c r="B9182" s="3"/>
    </row>
    <row r="9183" spans="2:2">
      <c r="B9183" s="3"/>
    </row>
    <row r="9184" spans="2:2">
      <c r="B9184" s="3"/>
    </row>
    <row r="9185" spans="2:2">
      <c r="B9185" s="3"/>
    </row>
    <row r="9186" spans="2:2">
      <c r="B9186" s="3"/>
    </row>
    <row r="9187" spans="2:2">
      <c r="B9187" s="3"/>
    </row>
    <row r="9188" spans="2:2">
      <c r="B9188" s="3"/>
    </row>
    <row r="9189" spans="2:2">
      <c r="B9189" s="3"/>
    </row>
    <row r="9190" spans="2:2">
      <c r="B9190" s="3"/>
    </row>
    <row r="9191" spans="2:2">
      <c r="B9191" s="3"/>
    </row>
    <row r="9192" spans="2:2">
      <c r="B9192" s="3"/>
    </row>
    <row r="9193" spans="2:2">
      <c r="B9193" s="3"/>
    </row>
    <row r="9194" spans="2:2">
      <c r="B9194" s="3"/>
    </row>
    <row r="9195" spans="2:2">
      <c r="B9195" s="3"/>
    </row>
    <row r="9196" spans="2:2">
      <c r="B9196" s="3"/>
    </row>
    <row r="9197" spans="2:2">
      <c r="B9197" s="3"/>
    </row>
    <row r="9198" spans="2:2">
      <c r="B9198" s="3"/>
    </row>
    <row r="9199" spans="2:2">
      <c r="B9199" s="3"/>
    </row>
    <row r="9200" spans="2:2">
      <c r="B9200" s="3"/>
    </row>
    <row r="9201" spans="2:2">
      <c r="B9201" s="3"/>
    </row>
    <row r="9202" spans="2:2">
      <c r="B9202" s="3"/>
    </row>
    <row r="9203" spans="2:2">
      <c r="B9203" s="3"/>
    </row>
    <row r="9204" spans="2:2">
      <c r="B9204" s="3"/>
    </row>
    <row r="9205" spans="2:2">
      <c r="B9205" s="3"/>
    </row>
    <row r="9206" spans="2:2">
      <c r="B9206" s="3"/>
    </row>
    <row r="9207" spans="2:2">
      <c r="B9207" s="3"/>
    </row>
    <row r="9208" spans="2:2">
      <c r="B9208" s="3"/>
    </row>
    <row r="9209" spans="2:2">
      <c r="B9209" s="3"/>
    </row>
    <row r="9210" spans="2:2">
      <c r="B9210" s="3"/>
    </row>
    <row r="9211" spans="2:2">
      <c r="B9211" s="3"/>
    </row>
    <row r="9212" spans="2:2">
      <c r="B9212" s="3"/>
    </row>
    <row r="9213" spans="2:2">
      <c r="B9213" s="3"/>
    </row>
    <row r="9214" spans="2:2">
      <c r="B9214" s="3"/>
    </row>
    <row r="9215" spans="2:2">
      <c r="B9215" s="3"/>
    </row>
    <row r="9216" spans="2:2">
      <c r="B9216" s="3"/>
    </row>
    <row r="9217" spans="2:2">
      <c r="B9217" s="3"/>
    </row>
    <row r="9218" spans="2:2">
      <c r="B9218" s="3"/>
    </row>
    <row r="9219" spans="2:2">
      <c r="B9219" s="3"/>
    </row>
    <row r="9220" spans="2:2">
      <c r="B9220" s="3"/>
    </row>
    <row r="9221" spans="2:2">
      <c r="B9221" s="3"/>
    </row>
    <row r="9222" spans="2:2">
      <c r="B9222" s="3"/>
    </row>
    <row r="9223" spans="2:2">
      <c r="B9223" s="3"/>
    </row>
    <row r="9224" spans="2:2">
      <c r="B9224" s="3"/>
    </row>
    <row r="9225" spans="2:2">
      <c r="B9225" s="3"/>
    </row>
    <row r="9226" spans="2:2">
      <c r="B9226" s="3"/>
    </row>
    <row r="9227" spans="2:2">
      <c r="B9227" s="3"/>
    </row>
    <row r="9228" spans="2:2">
      <c r="B9228" s="3"/>
    </row>
    <row r="9229" spans="2:2">
      <c r="B9229" s="3"/>
    </row>
    <row r="9230" spans="2:2">
      <c r="B9230" s="3"/>
    </row>
    <row r="9231" spans="2:2">
      <c r="B9231" s="3"/>
    </row>
    <row r="9232" spans="2:2">
      <c r="B9232" s="3"/>
    </row>
    <row r="9233" spans="2:2">
      <c r="B9233" s="3"/>
    </row>
    <row r="9234" spans="2:2">
      <c r="B9234" s="3"/>
    </row>
    <row r="9235" spans="2:2">
      <c r="B9235" s="3"/>
    </row>
    <row r="9236" spans="2:2">
      <c r="B9236" s="3"/>
    </row>
    <row r="9237" spans="2:2">
      <c r="B9237" s="3"/>
    </row>
    <row r="9238" spans="2:2">
      <c r="B9238" s="3"/>
    </row>
    <row r="9239" spans="2:2">
      <c r="B9239" s="3"/>
    </row>
    <row r="9240" spans="2:2">
      <c r="B9240" s="3"/>
    </row>
    <row r="9241" spans="2:2">
      <c r="B9241" s="3"/>
    </row>
    <row r="9242" spans="2:2">
      <c r="B9242" s="3"/>
    </row>
    <row r="9243" spans="2:2">
      <c r="B9243" s="3"/>
    </row>
    <row r="9244" spans="2:2">
      <c r="B9244" s="3"/>
    </row>
    <row r="9245" spans="2:2">
      <c r="B9245" s="3"/>
    </row>
    <row r="9246" spans="2:2">
      <c r="B9246" s="3"/>
    </row>
    <row r="9247" spans="2:2">
      <c r="B9247" s="3"/>
    </row>
    <row r="9248" spans="2:2">
      <c r="B9248" s="3"/>
    </row>
    <row r="9249" spans="2:2">
      <c r="B9249" s="3"/>
    </row>
    <row r="9250" spans="2:2">
      <c r="B9250" s="3"/>
    </row>
    <row r="9251" spans="2:2">
      <c r="B9251" s="3"/>
    </row>
    <row r="9252" spans="2:2">
      <c r="B9252" s="3"/>
    </row>
    <row r="9253" spans="2:2">
      <c r="B9253" s="3"/>
    </row>
    <row r="9254" spans="2:2">
      <c r="B9254" s="3"/>
    </row>
    <row r="9255" spans="2:2">
      <c r="B9255" s="3"/>
    </row>
    <row r="9256" spans="2:2">
      <c r="B9256" s="3"/>
    </row>
    <row r="9257" spans="2:2">
      <c r="B9257" s="3"/>
    </row>
    <row r="9258" spans="2:2">
      <c r="B9258" s="3"/>
    </row>
    <row r="9259" spans="2:2">
      <c r="B9259" s="3"/>
    </row>
    <row r="9260" spans="2:2">
      <c r="B9260" s="3"/>
    </row>
    <row r="9261" spans="2:2">
      <c r="B9261" s="3"/>
    </row>
    <row r="9262" spans="2:2">
      <c r="B9262" s="3"/>
    </row>
    <row r="9263" spans="2:2">
      <c r="B9263" s="3"/>
    </row>
    <row r="9264" spans="2:2">
      <c r="B9264" s="3"/>
    </row>
    <row r="9265" spans="2:2">
      <c r="B9265" s="3"/>
    </row>
    <row r="9266" spans="2:2">
      <c r="B9266" s="3"/>
    </row>
    <row r="9267" spans="2:2">
      <c r="B9267" s="3"/>
    </row>
    <row r="9268" spans="2:2">
      <c r="B9268" s="3"/>
    </row>
    <row r="9269" spans="2:2">
      <c r="B9269" s="3"/>
    </row>
    <row r="9270" spans="2:2">
      <c r="B9270" s="3"/>
    </row>
    <row r="9271" spans="2:2">
      <c r="B9271" s="3"/>
    </row>
    <row r="9272" spans="2:2">
      <c r="B9272" s="3"/>
    </row>
    <row r="9273" spans="2:2">
      <c r="B9273" s="3"/>
    </row>
    <row r="9274" spans="2:2">
      <c r="B9274" s="3"/>
    </row>
    <row r="9275" spans="2:2">
      <c r="B9275" s="3"/>
    </row>
    <row r="9276" spans="2:2">
      <c r="B9276" s="3"/>
    </row>
    <row r="9277" spans="2:2">
      <c r="B9277" s="3"/>
    </row>
    <row r="9278" spans="2:2">
      <c r="B9278" s="3"/>
    </row>
    <row r="9279" spans="2:2">
      <c r="B9279" s="3"/>
    </row>
    <row r="9280" spans="2:2">
      <c r="B9280" s="3"/>
    </row>
    <row r="9281" spans="2:2">
      <c r="B9281" s="3"/>
    </row>
    <row r="9282" spans="2:2">
      <c r="B9282" s="3"/>
    </row>
    <row r="9283" spans="2:2">
      <c r="B9283" s="3"/>
    </row>
    <row r="9284" spans="2:2">
      <c r="B9284" s="3"/>
    </row>
    <row r="9285" spans="2:2">
      <c r="B9285" s="3"/>
    </row>
    <row r="9286" spans="2:2">
      <c r="B9286" s="3"/>
    </row>
    <row r="9287" spans="2:2">
      <c r="B9287" s="3"/>
    </row>
    <row r="9288" spans="2:2">
      <c r="B9288" s="3"/>
    </row>
    <row r="9289" spans="2:2">
      <c r="B9289" s="3"/>
    </row>
    <row r="9290" spans="2:2">
      <c r="B9290" s="3"/>
    </row>
    <row r="9291" spans="2:2">
      <c r="B9291" s="3"/>
    </row>
    <row r="9292" spans="2:2">
      <c r="B9292" s="3"/>
    </row>
    <row r="9293" spans="2:2">
      <c r="B9293" s="3"/>
    </row>
    <row r="9294" spans="2:2">
      <c r="B9294" s="3"/>
    </row>
    <row r="9295" spans="2:2">
      <c r="B9295" s="3"/>
    </row>
    <row r="9296" spans="2:2">
      <c r="B9296" s="3"/>
    </row>
    <row r="9297" spans="2:2">
      <c r="B9297" s="3"/>
    </row>
    <row r="9298" spans="2:2">
      <c r="B9298" s="3"/>
    </row>
    <row r="9299" spans="2:2">
      <c r="B9299" s="3"/>
    </row>
    <row r="9300" spans="2:2">
      <c r="B9300" s="3"/>
    </row>
    <row r="9301" spans="2:2">
      <c r="B9301" s="3"/>
    </row>
    <row r="9302" spans="2:2">
      <c r="B9302" s="3"/>
    </row>
    <row r="9303" spans="2:2">
      <c r="B9303" s="3"/>
    </row>
    <row r="9304" spans="2:2">
      <c r="B9304" s="3"/>
    </row>
    <row r="9305" spans="2:2">
      <c r="B9305" s="3"/>
    </row>
    <row r="9306" spans="2:2">
      <c r="B9306" s="3"/>
    </row>
    <row r="9307" spans="2:2">
      <c r="B9307" s="3"/>
    </row>
    <row r="9308" spans="2:2">
      <c r="B9308" s="3"/>
    </row>
    <row r="9309" spans="2:2">
      <c r="B9309" s="3"/>
    </row>
    <row r="9310" spans="2:2">
      <c r="B9310" s="3"/>
    </row>
    <row r="9311" spans="2:2">
      <c r="B9311" s="3"/>
    </row>
    <row r="9312" spans="2:2">
      <c r="B9312" s="3"/>
    </row>
    <row r="9313" spans="2:2">
      <c r="B9313" s="3"/>
    </row>
    <row r="9314" spans="2:2">
      <c r="B9314" s="3"/>
    </row>
    <row r="9315" spans="2:2">
      <c r="B9315" s="3"/>
    </row>
    <row r="9316" spans="2:2">
      <c r="B9316" s="3"/>
    </row>
    <row r="9317" spans="2:2">
      <c r="B9317" s="3"/>
    </row>
    <row r="9318" spans="2:2">
      <c r="B9318" s="3"/>
    </row>
    <row r="9319" spans="2:2">
      <c r="B9319" s="3"/>
    </row>
    <row r="9320" spans="2:2">
      <c r="B9320" s="3"/>
    </row>
    <row r="9321" spans="2:2">
      <c r="B9321" s="3"/>
    </row>
    <row r="9322" spans="2:2">
      <c r="B9322" s="3"/>
    </row>
    <row r="9323" spans="2:2">
      <c r="B9323" s="3"/>
    </row>
    <row r="9324" spans="2:2">
      <c r="B9324" s="3"/>
    </row>
    <row r="9325" spans="2:2">
      <c r="B9325" s="3"/>
    </row>
    <row r="9326" spans="2:2">
      <c r="B9326" s="3"/>
    </row>
    <row r="9327" spans="2:2">
      <c r="B9327" s="3"/>
    </row>
    <row r="9328" spans="2:2">
      <c r="B9328" s="3"/>
    </row>
    <row r="9329" spans="2:2">
      <c r="B9329" s="3"/>
    </row>
    <row r="9330" spans="2:2">
      <c r="B9330" s="3"/>
    </row>
    <row r="9331" spans="2:2">
      <c r="B9331" s="3"/>
    </row>
    <row r="9332" spans="2:2">
      <c r="B9332" s="3"/>
    </row>
    <row r="9333" spans="2:2">
      <c r="B9333" s="3"/>
    </row>
    <row r="9334" spans="2:2">
      <c r="B9334" s="3"/>
    </row>
    <row r="9335" spans="2:2">
      <c r="B9335" s="3"/>
    </row>
    <row r="9336" spans="2:2">
      <c r="B9336" s="3"/>
    </row>
    <row r="9337" spans="2:2">
      <c r="B9337" s="3"/>
    </row>
    <row r="9338" spans="2:2">
      <c r="B9338" s="3"/>
    </row>
    <row r="9339" spans="2:2">
      <c r="B9339" s="3"/>
    </row>
    <row r="9340" spans="2:2">
      <c r="B9340" s="3"/>
    </row>
    <row r="9341" spans="2:2">
      <c r="B9341" s="3"/>
    </row>
    <row r="9342" spans="2:2">
      <c r="B9342" s="3"/>
    </row>
    <row r="9343" spans="2:2">
      <c r="B9343" s="3"/>
    </row>
    <row r="9344" spans="2:2">
      <c r="B9344" s="3"/>
    </row>
    <row r="9345" spans="2:2">
      <c r="B9345" s="3"/>
    </row>
    <row r="9346" spans="2:2">
      <c r="B9346" s="3"/>
    </row>
    <row r="9347" spans="2:2">
      <c r="B9347" s="3"/>
    </row>
    <row r="9348" spans="2:2">
      <c r="B9348" s="3"/>
    </row>
    <row r="9349" spans="2:2">
      <c r="B9349" s="3"/>
    </row>
    <row r="9350" spans="2:2">
      <c r="B9350" s="3"/>
    </row>
    <row r="9351" spans="2:2">
      <c r="B9351" s="3"/>
    </row>
    <row r="9352" spans="2:2">
      <c r="B9352" s="3"/>
    </row>
    <row r="9353" spans="2:2">
      <c r="B9353" s="3"/>
    </row>
    <row r="9354" spans="2:2">
      <c r="B9354" s="3"/>
    </row>
    <row r="9355" spans="2:2">
      <c r="B9355" s="3"/>
    </row>
    <row r="9356" spans="2:2">
      <c r="B9356" s="3"/>
    </row>
    <row r="9357" spans="2:2">
      <c r="B9357" s="3"/>
    </row>
    <row r="9358" spans="2:2">
      <c r="B9358" s="3"/>
    </row>
    <row r="9359" spans="2:2">
      <c r="B9359" s="3"/>
    </row>
    <row r="9360" spans="2:2">
      <c r="B9360" s="3"/>
    </row>
    <row r="9361" spans="2:2">
      <c r="B9361" s="3"/>
    </row>
    <row r="9362" spans="2:2">
      <c r="B9362" s="3"/>
    </row>
    <row r="9363" spans="2:2">
      <c r="B9363" s="3"/>
    </row>
    <row r="9364" spans="2:2">
      <c r="B9364" s="3"/>
    </row>
    <row r="9365" spans="2:2">
      <c r="B9365" s="3"/>
    </row>
    <row r="9366" spans="2:2">
      <c r="B9366" s="3"/>
    </row>
    <row r="9367" spans="2:2">
      <c r="B9367" s="3"/>
    </row>
    <row r="9368" spans="2:2">
      <c r="B9368" s="3"/>
    </row>
    <row r="9369" spans="2:2">
      <c r="B9369" s="3"/>
    </row>
    <row r="9370" spans="2:2">
      <c r="B9370" s="3"/>
    </row>
    <row r="9371" spans="2:2">
      <c r="B9371" s="3"/>
    </row>
    <row r="9372" spans="2:2">
      <c r="B9372" s="3"/>
    </row>
    <row r="9373" spans="2:2">
      <c r="B9373" s="3"/>
    </row>
    <row r="9374" spans="2:2">
      <c r="B9374" s="3"/>
    </row>
    <row r="9375" spans="2:2">
      <c r="B9375" s="3"/>
    </row>
    <row r="9376" spans="2:2">
      <c r="B9376" s="3"/>
    </row>
    <row r="9377" spans="2:2">
      <c r="B9377" s="3"/>
    </row>
    <row r="9378" spans="2:2">
      <c r="B9378" s="3"/>
    </row>
    <row r="9379" spans="2:2">
      <c r="B9379" s="3"/>
    </row>
    <row r="9380" spans="2:2">
      <c r="B9380" s="3"/>
    </row>
    <row r="9381" spans="2:2">
      <c r="B9381" s="3"/>
    </row>
    <row r="9382" spans="2:2">
      <c r="B9382" s="3"/>
    </row>
    <row r="9383" spans="2:2">
      <c r="B9383" s="3"/>
    </row>
    <row r="9384" spans="2:2">
      <c r="B9384" s="3"/>
    </row>
    <row r="9385" spans="2:2">
      <c r="B9385" s="3"/>
    </row>
    <row r="9386" spans="2:2">
      <c r="B9386" s="3"/>
    </row>
    <row r="9387" spans="2:2">
      <c r="B9387" s="3"/>
    </row>
    <row r="9388" spans="2:2">
      <c r="B9388" s="3"/>
    </row>
    <row r="9389" spans="2:2">
      <c r="B9389" s="3"/>
    </row>
    <row r="9390" spans="2:2">
      <c r="B9390" s="3"/>
    </row>
    <row r="9391" spans="2:2">
      <c r="B9391" s="3"/>
    </row>
    <row r="9392" spans="2:2">
      <c r="B9392" s="3"/>
    </row>
    <row r="9393" spans="2:2">
      <c r="B9393" s="3"/>
    </row>
    <row r="9394" spans="2:2">
      <c r="B9394" s="3"/>
    </row>
    <row r="9395" spans="2:2">
      <c r="B9395" s="3"/>
    </row>
    <row r="9396" spans="2:2">
      <c r="B9396" s="3"/>
    </row>
    <row r="9397" spans="2:2">
      <c r="B9397" s="3"/>
    </row>
    <row r="9398" spans="2:2">
      <c r="B9398" s="3"/>
    </row>
    <row r="9399" spans="2:2">
      <c r="B9399" s="3"/>
    </row>
    <row r="9400" spans="2:2">
      <c r="B9400" s="3"/>
    </row>
    <row r="9401" spans="2:2">
      <c r="B9401" s="3"/>
    </row>
    <row r="9402" spans="2:2">
      <c r="B9402" s="3"/>
    </row>
    <row r="9403" spans="2:2">
      <c r="B9403" s="3"/>
    </row>
    <row r="9404" spans="2:2">
      <c r="B9404" s="3"/>
    </row>
    <row r="9405" spans="2:2">
      <c r="B9405" s="3"/>
    </row>
    <row r="9406" spans="2:2">
      <c r="B9406" s="3"/>
    </row>
    <row r="9407" spans="2:2">
      <c r="B9407" s="3"/>
    </row>
    <row r="9408" spans="2:2">
      <c r="B9408" s="3"/>
    </row>
    <row r="9409" spans="2:2">
      <c r="B9409" s="3"/>
    </row>
    <row r="9410" spans="2:2">
      <c r="B9410" s="3"/>
    </row>
    <row r="9411" spans="2:2">
      <c r="B9411" s="3"/>
    </row>
    <row r="9412" spans="2:2">
      <c r="B9412" s="3"/>
    </row>
    <row r="9413" spans="2:2">
      <c r="B9413" s="3"/>
    </row>
    <row r="9414" spans="2:2">
      <c r="B9414" s="3"/>
    </row>
    <row r="9415" spans="2:2">
      <c r="B9415" s="3"/>
    </row>
    <row r="9416" spans="2:2">
      <c r="B9416" s="3"/>
    </row>
    <row r="9417" spans="2:2">
      <c r="B9417" s="3"/>
    </row>
    <row r="9418" spans="2:2">
      <c r="B9418" s="3"/>
    </row>
    <row r="9419" spans="2:2">
      <c r="B9419" s="3"/>
    </row>
    <row r="9420" spans="2:2">
      <c r="B9420" s="3"/>
    </row>
    <row r="9421" spans="2:2">
      <c r="B9421" s="3"/>
    </row>
    <row r="9422" spans="2:2">
      <c r="B9422" s="3"/>
    </row>
    <row r="9423" spans="2:2">
      <c r="B9423" s="3"/>
    </row>
    <row r="9424" spans="2:2">
      <c r="B9424" s="3"/>
    </row>
    <row r="9425" spans="2:2">
      <c r="B9425" s="3"/>
    </row>
    <row r="9426" spans="2:2">
      <c r="B9426" s="3"/>
    </row>
    <row r="9427" spans="2:2">
      <c r="B9427" s="3"/>
    </row>
    <row r="9428" spans="2:2">
      <c r="B9428" s="3"/>
    </row>
    <row r="9429" spans="2:2">
      <c r="B9429" s="3"/>
    </row>
    <row r="9430" spans="2:2">
      <c r="B9430" s="3"/>
    </row>
    <row r="9431" spans="2:2">
      <c r="B9431" s="3"/>
    </row>
    <row r="9432" spans="2:2">
      <c r="B9432" s="3"/>
    </row>
    <row r="9433" spans="2:2">
      <c r="B9433" s="3"/>
    </row>
    <row r="9434" spans="2:2">
      <c r="B9434" s="3"/>
    </row>
    <row r="9435" spans="2:2">
      <c r="B9435" s="3"/>
    </row>
    <row r="9436" spans="2:2">
      <c r="B9436" s="3"/>
    </row>
    <row r="9437" spans="2:2">
      <c r="B9437" s="3"/>
    </row>
    <row r="9438" spans="2:2">
      <c r="B9438" s="3"/>
    </row>
    <row r="9439" spans="2:2">
      <c r="B9439" s="3"/>
    </row>
    <row r="9440" spans="2:2">
      <c r="B9440" s="3"/>
    </row>
    <row r="9441" spans="2:2">
      <c r="B9441" s="3"/>
    </row>
    <row r="9442" spans="2:2">
      <c r="B9442" s="3"/>
    </row>
    <row r="9443" spans="2:2">
      <c r="B9443" s="3"/>
    </row>
    <row r="9444" spans="2:2">
      <c r="B9444" s="3"/>
    </row>
    <row r="9445" spans="2:2">
      <c r="B9445" s="3"/>
    </row>
    <row r="9446" spans="2:2">
      <c r="B9446" s="3"/>
    </row>
    <row r="9447" spans="2:2">
      <c r="B9447" s="3"/>
    </row>
    <row r="9448" spans="2:2">
      <c r="B9448" s="3"/>
    </row>
    <row r="9449" spans="2:2">
      <c r="B9449" s="3"/>
    </row>
    <row r="9450" spans="2:2">
      <c r="B9450" s="3"/>
    </row>
    <row r="9451" spans="2:2">
      <c r="B9451" s="3"/>
    </row>
    <row r="9452" spans="2:2">
      <c r="B9452" s="3"/>
    </row>
    <row r="9453" spans="2:2">
      <c r="B9453" s="3"/>
    </row>
    <row r="9454" spans="2:2">
      <c r="B9454" s="3"/>
    </row>
    <row r="9455" spans="2:2">
      <c r="B9455" s="3"/>
    </row>
    <row r="9456" spans="2:2">
      <c r="B9456" s="3"/>
    </row>
    <row r="9457" spans="2:2">
      <c r="B9457" s="3"/>
    </row>
    <row r="9458" spans="2:2">
      <c r="B9458" s="3"/>
    </row>
    <row r="9459" spans="2:2">
      <c r="B9459" s="3"/>
    </row>
    <row r="9460" spans="2:2">
      <c r="B9460" s="3"/>
    </row>
    <row r="9461" spans="2:2">
      <c r="B9461" s="3"/>
    </row>
    <row r="9462" spans="2:2">
      <c r="B9462" s="3"/>
    </row>
    <row r="9463" spans="2:2">
      <c r="B9463" s="3"/>
    </row>
    <row r="9464" spans="2:2">
      <c r="B9464" s="3"/>
    </row>
    <row r="9465" spans="2:2">
      <c r="B9465" s="3"/>
    </row>
    <row r="9466" spans="2:2">
      <c r="B9466" s="3"/>
    </row>
    <row r="9467" spans="2:2">
      <c r="B9467" s="3"/>
    </row>
    <row r="9468" spans="2:2">
      <c r="B9468" s="3"/>
    </row>
    <row r="9469" spans="2:2">
      <c r="B9469" s="3"/>
    </row>
    <row r="9470" spans="2:2">
      <c r="B9470" s="3"/>
    </row>
    <row r="9471" spans="2:2">
      <c r="B9471" s="3"/>
    </row>
    <row r="9472" spans="2:2">
      <c r="B9472" s="3"/>
    </row>
    <row r="9473" spans="2:2">
      <c r="B9473" s="3"/>
    </row>
    <row r="9474" spans="2:2">
      <c r="B9474" s="3"/>
    </row>
    <row r="9475" spans="2:2">
      <c r="B9475" s="3"/>
    </row>
    <row r="9476" spans="2:2">
      <c r="B9476" s="3"/>
    </row>
    <row r="9477" spans="2:2">
      <c r="B9477" s="3"/>
    </row>
    <row r="9478" spans="2:2">
      <c r="B9478" s="3"/>
    </row>
    <row r="9479" spans="2:2">
      <c r="B9479" s="3"/>
    </row>
    <row r="9480" spans="2:2">
      <c r="B9480" s="3"/>
    </row>
    <row r="9481" spans="2:2">
      <c r="B9481" s="3"/>
    </row>
    <row r="9482" spans="2:2">
      <c r="B9482" s="3"/>
    </row>
    <row r="9483" spans="2:2">
      <c r="B9483" s="3"/>
    </row>
    <row r="9484" spans="2:2">
      <c r="B9484" s="3"/>
    </row>
    <row r="9485" spans="2:2">
      <c r="B9485" s="3"/>
    </row>
    <row r="9486" spans="2:2">
      <c r="B9486" s="3"/>
    </row>
    <row r="9487" spans="2:2">
      <c r="B9487" s="3"/>
    </row>
    <row r="9488" spans="2:2">
      <c r="B9488" s="3"/>
    </row>
    <row r="9489" spans="2:2">
      <c r="B9489" s="3"/>
    </row>
    <row r="9490" spans="2:2">
      <c r="B9490" s="3"/>
    </row>
    <row r="9491" spans="2:2">
      <c r="B9491" s="3"/>
    </row>
    <row r="9492" spans="2:2">
      <c r="B9492" s="3"/>
    </row>
    <row r="9493" spans="2:2">
      <c r="B9493" s="3"/>
    </row>
    <row r="9494" spans="2:2">
      <c r="B9494" s="3"/>
    </row>
    <row r="9495" spans="2:2">
      <c r="B9495" s="3"/>
    </row>
    <row r="9496" spans="2:2">
      <c r="B9496" s="3"/>
    </row>
    <row r="9497" spans="2:2">
      <c r="B9497" s="3"/>
    </row>
    <row r="9498" spans="2:2">
      <c r="B9498" s="3"/>
    </row>
    <row r="9499" spans="2:2">
      <c r="B9499" s="3"/>
    </row>
    <row r="9500" spans="2:2">
      <c r="B9500" s="3"/>
    </row>
    <row r="9501" spans="2:2">
      <c r="B9501" s="3"/>
    </row>
    <row r="9502" spans="2:2">
      <c r="B9502" s="3"/>
    </row>
    <row r="9503" spans="2:2">
      <c r="B9503" s="3"/>
    </row>
    <row r="9504" spans="2:2">
      <c r="B9504" s="3"/>
    </row>
    <row r="9505" spans="2:2">
      <c r="B9505" s="3"/>
    </row>
    <row r="9506" spans="2:2">
      <c r="B9506" s="3"/>
    </row>
    <row r="9507" spans="2:2">
      <c r="B9507" s="3"/>
    </row>
    <row r="9508" spans="2:2">
      <c r="B9508" s="3"/>
    </row>
    <row r="9509" spans="2:2">
      <c r="B9509" s="3"/>
    </row>
    <row r="9510" spans="2:2">
      <c r="B9510" s="3"/>
    </row>
    <row r="9511" spans="2:2">
      <c r="B9511" s="3"/>
    </row>
    <row r="9512" spans="2:2">
      <c r="B9512" s="3"/>
    </row>
    <row r="9513" spans="2:2">
      <c r="B9513" s="3"/>
    </row>
    <row r="9514" spans="2:2">
      <c r="B9514" s="3"/>
    </row>
    <row r="9515" spans="2:2">
      <c r="B9515" s="3"/>
    </row>
    <row r="9516" spans="2:2">
      <c r="B9516" s="3"/>
    </row>
    <row r="9517" spans="2:2">
      <c r="B9517" s="3"/>
    </row>
    <row r="9518" spans="2:2">
      <c r="B9518" s="3"/>
    </row>
    <row r="9519" spans="2:2">
      <c r="B9519" s="3"/>
    </row>
    <row r="9520" spans="2:2">
      <c r="B9520" s="3"/>
    </row>
    <row r="9521" spans="2:2">
      <c r="B9521" s="3"/>
    </row>
    <row r="9522" spans="2:2">
      <c r="B9522" s="3"/>
    </row>
    <row r="9523" spans="2:2">
      <c r="B9523" s="3"/>
    </row>
    <row r="9524" spans="2:2">
      <c r="B9524" s="3"/>
    </row>
    <row r="9525" spans="2:2">
      <c r="B9525" s="3"/>
    </row>
    <row r="9526" spans="2:2">
      <c r="B9526" s="3"/>
    </row>
    <row r="9527" spans="2:2">
      <c r="B9527" s="3"/>
    </row>
    <row r="9528" spans="2:2">
      <c r="B9528" s="3"/>
    </row>
    <row r="9529" spans="2:2">
      <c r="B9529" s="3"/>
    </row>
    <row r="9530" spans="2:2">
      <c r="B9530" s="3"/>
    </row>
    <row r="9531" spans="2:2">
      <c r="B9531" s="3"/>
    </row>
    <row r="9532" spans="2:2">
      <c r="B9532" s="3"/>
    </row>
    <row r="9533" spans="2:2">
      <c r="B9533" s="3"/>
    </row>
    <row r="9534" spans="2:2">
      <c r="B9534" s="3"/>
    </row>
    <row r="9535" spans="2:2">
      <c r="B9535" s="3"/>
    </row>
    <row r="9536" spans="2:2">
      <c r="B9536" s="3"/>
    </row>
    <row r="9537" spans="2:2">
      <c r="B9537" s="3"/>
    </row>
    <row r="9538" spans="2:2">
      <c r="B9538" s="3"/>
    </row>
    <row r="9539" spans="2:2">
      <c r="B9539" s="3"/>
    </row>
    <row r="9540" spans="2:2">
      <c r="B9540" s="3"/>
    </row>
    <row r="9541" spans="2:2">
      <c r="B9541" s="3"/>
    </row>
    <row r="9542" spans="2:2">
      <c r="B9542" s="3"/>
    </row>
    <row r="9543" spans="2:2">
      <c r="B9543" s="3"/>
    </row>
    <row r="9544" spans="2:2">
      <c r="B9544" s="3"/>
    </row>
    <row r="9545" spans="2:2">
      <c r="B9545" s="3"/>
    </row>
    <row r="9546" spans="2:2">
      <c r="B9546" s="3"/>
    </row>
    <row r="9547" spans="2:2">
      <c r="B9547" s="3"/>
    </row>
    <row r="9548" spans="2:2">
      <c r="B9548" s="3"/>
    </row>
    <row r="9549" spans="2:2">
      <c r="B9549" s="3"/>
    </row>
    <row r="9550" spans="2:2">
      <c r="B9550" s="3"/>
    </row>
    <row r="9551" spans="2:2">
      <c r="B9551" s="3"/>
    </row>
    <row r="9552" spans="2:2">
      <c r="B9552" s="3"/>
    </row>
    <row r="9553" spans="2:2">
      <c r="B9553" s="3"/>
    </row>
    <row r="9554" spans="2:2">
      <c r="B9554" s="3"/>
    </row>
    <row r="9555" spans="2:2">
      <c r="B9555" s="3"/>
    </row>
    <row r="9556" spans="2:2">
      <c r="B9556" s="3"/>
    </row>
    <row r="9557" spans="2:2">
      <c r="B9557" s="3"/>
    </row>
    <row r="9558" spans="2:2">
      <c r="B9558" s="3"/>
    </row>
    <row r="9559" spans="2:2">
      <c r="B9559" s="3"/>
    </row>
    <row r="9560" spans="2:2">
      <c r="B9560" s="3"/>
    </row>
    <row r="9561" spans="2:2">
      <c r="B9561" s="3"/>
    </row>
    <row r="9562" spans="2:2">
      <c r="B9562" s="3"/>
    </row>
    <row r="9563" spans="2:2">
      <c r="B9563" s="3"/>
    </row>
    <row r="9564" spans="2:2">
      <c r="B9564" s="3"/>
    </row>
    <row r="9565" spans="2:2">
      <c r="B9565" s="3"/>
    </row>
    <row r="9566" spans="2:2">
      <c r="B9566" s="3"/>
    </row>
    <row r="9567" spans="2:2">
      <c r="B9567" s="3"/>
    </row>
    <row r="9568" spans="2:2">
      <c r="B9568" s="3"/>
    </row>
    <row r="9569" spans="2:2">
      <c r="B9569" s="3"/>
    </row>
    <row r="9570" spans="2:2">
      <c r="B9570" s="3"/>
    </row>
    <row r="9571" spans="2:2">
      <c r="B9571" s="3"/>
    </row>
    <row r="9572" spans="2:2">
      <c r="B9572" s="3"/>
    </row>
    <row r="9573" spans="2:2">
      <c r="B9573" s="3"/>
    </row>
    <row r="9574" spans="2:2">
      <c r="B9574" s="3"/>
    </row>
    <row r="9575" spans="2:2">
      <c r="B9575" s="3"/>
    </row>
    <row r="9576" spans="2:2">
      <c r="B9576" s="3"/>
    </row>
    <row r="9577" spans="2:2">
      <c r="B9577" s="3"/>
    </row>
    <row r="9578" spans="2:2">
      <c r="B9578" s="3"/>
    </row>
    <row r="9579" spans="2:2">
      <c r="B9579" s="3"/>
    </row>
    <row r="9580" spans="2:2">
      <c r="B9580" s="3"/>
    </row>
    <row r="9581" spans="2:2">
      <c r="B9581" s="3"/>
    </row>
    <row r="9582" spans="2:2">
      <c r="B9582" s="3"/>
    </row>
    <row r="9583" spans="2:2">
      <c r="B9583" s="3"/>
    </row>
    <row r="9584" spans="2:2">
      <c r="B9584" s="3"/>
    </row>
    <row r="9585" spans="2:2">
      <c r="B9585" s="3"/>
    </row>
    <row r="9586" spans="2:2">
      <c r="B9586" s="3"/>
    </row>
    <row r="9587" spans="2:2">
      <c r="B9587" s="3"/>
    </row>
    <row r="9588" spans="2:2">
      <c r="B9588" s="3"/>
    </row>
    <row r="9589" spans="2:2">
      <c r="B9589" s="3"/>
    </row>
    <row r="9590" spans="2:2">
      <c r="B9590" s="3"/>
    </row>
    <row r="9591" spans="2:2">
      <c r="B9591" s="3"/>
    </row>
    <row r="9592" spans="2:2">
      <c r="B9592" s="3"/>
    </row>
    <row r="9593" spans="2:2">
      <c r="B9593" s="3"/>
    </row>
    <row r="9594" spans="2:2">
      <c r="B9594" s="3"/>
    </row>
    <row r="9595" spans="2:2">
      <c r="B9595" s="3"/>
    </row>
    <row r="9596" spans="2:2">
      <c r="B9596" s="3"/>
    </row>
    <row r="9597" spans="2:2">
      <c r="B9597" s="3"/>
    </row>
    <row r="9598" spans="2:2">
      <c r="B9598" s="3"/>
    </row>
    <row r="9599" spans="2:2">
      <c r="B9599" s="3"/>
    </row>
    <row r="9600" spans="2:2">
      <c r="B9600" s="3"/>
    </row>
    <row r="9601" spans="2:2">
      <c r="B9601" s="3"/>
    </row>
    <row r="9602" spans="2:2">
      <c r="B9602" s="3"/>
    </row>
    <row r="9603" spans="2:2">
      <c r="B9603" s="3"/>
    </row>
    <row r="9604" spans="2:2">
      <c r="B9604" s="3"/>
    </row>
    <row r="9605" spans="2:2">
      <c r="B9605" s="3"/>
    </row>
    <row r="9606" spans="2:2">
      <c r="B9606" s="3"/>
    </row>
    <row r="9607" spans="2:2">
      <c r="B9607" s="3"/>
    </row>
    <row r="9608" spans="2:2">
      <c r="B9608" s="3"/>
    </row>
    <row r="9609" spans="2:2">
      <c r="B9609" s="3"/>
    </row>
    <row r="9610" spans="2:2">
      <c r="B9610" s="3"/>
    </row>
    <row r="9611" spans="2:2">
      <c r="B9611" s="3"/>
    </row>
    <row r="9612" spans="2:2">
      <c r="B9612" s="3"/>
    </row>
    <row r="9613" spans="2:2">
      <c r="B9613" s="3"/>
    </row>
    <row r="9614" spans="2:2">
      <c r="B9614" s="3"/>
    </row>
    <row r="9615" spans="2:2">
      <c r="B9615" s="3"/>
    </row>
    <row r="9616" spans="2:2">
      <c r="B9616" s="3"/>
    </row>
    <row r="9617" spans="2:2">
      <c r="B9617" s="3"/>
    </row>
    <row r="9618" spans="2:2">
      <c r="B9618" s="3"/>
    </row>
    <row r="9619" spans="2:2">
      <c r="B9619" s="3"/>
    </row>
    <row r="9620" spans="2:2">
      <c r="B9620" s="3"/>
    </row>
    <row r="9621" spans="2:2">
      <c r="B9621" s="3"/>
    </row>
    <row r="9622" spans="2:2">
      <c r="B9622" s="3"/>
    </row>
    <row r="9623" spans="2:2">
      <c r="B9623" s="3"/>
    </row>
    <row r="9624" spans="2:2">
      <c r="B9624" s="3"/>
    </row>
    <row r="9625" spans="2:2">
      <c r="B9625" s="3"/>
    </row>
    <row r="9626" spans="2:2">
      <c r="B9626" s="3"/>
    </row>
    <row r="9627" spans="2:2">
      <c r="B9627" s="3"/>
    </row>
    <row r="9628" spans="2:2">
      <c r="B9628" s="3"/>
    </row>
    <row r="9629" spans="2:2">
      <c r="B9629" s="3"/>
    </row>
    <row r="9630" spans="2:2">
      <c r="B9630" s="3"/>
    </row>
    <row r="9631" spans="2:2">
      <c r="B9631" s="3"/>
    </row>
    <row r="9632" spans="2:2">
      <c r="B9632" s="3"/>
    </row>
    <row r="9633" spans="2:2">
      <c r="B9633" s="3"/>
    </row>
    <row r="9634" spans="2:2">
      <c r="B9634" s="3"/>
    </row>
    <row r="9635" spans="2:2">
      <c r="B9635" s="3"/>
    </row>
    <row r="9636" spans="2:2">
      <c r="B9636" s="3"/>
    </row>
    <row r="9637" spans="2:2">
      <c r="B9637" s="3"/>
    </row>
    <row r="9638" spans="2:2">
      <c r="B9638" s="3"/>
    </row>
    <row r="9639" spans="2:2">
      <c r="B9639" s="3"/>
    </row>
    <row r="9640" spans="2:2">
      <c r="B9640" s="3"/>
    </row>
    <row r="9641" spans="2:2">
      <c r="B9641" s="3"/>
    </row>
    <row r="9642" spans="2:2">
      <c r="B9642" s="3"/>
    </row>
    <row r="9643" spans="2:2">
      <c r="B9643" s="3"/>
    </row>
    <row r="9644" spans="2:2">
      <c r="B9644" s="3"/>
    </row>
    <row r="9645" spans="2:2">
      <c r="B9645" s="3"/>
    </row>
    <row r="9646" spans="2:2">
      <c r="B9646" s="3"/>
    </row>
    <row r="9647" spans="2:2">
      <c r="B9647" s="3"/>
    </row>
    <row r="9648" spans="2:2">
      <c r="B9648" s="3"/>
    </row>
    <row r="9649" spans="2:2">
      <c r="B9649" s="3"/>
    </row>
    <row r="9650" spans="2:2">
      <c r="B9650" s="3"/>
    </row>
    <row r="9651" spans="2:2">
      <c r="B9651" s="3"/>
    </row>
    <row r="9652" spans="2:2">
      <c r="B9652" s="3"/>
    </row>
    <row r="9653" spans="2:2">
      <c r="B9653" s="3"/>
    </row>
    <row r="9654" spans="2:2">
      <c r="B9654" s="3"/>
    </row>
    <row r="9655" spans="2:2">
      <c r="B9655" s="3"/>
    </row>
    <row r="9656" spans="2:2">
      <c r="B9656" s="3"/>
    </row>
    <row r="9657" spans="2:2">
      <c r="B9657" s="3"/>
    </row>
    <row r="9658" spans="2:2">
      <c r="B9658" s="3"/>
    </row>
    <row r="9659" spans="2:2">
      <c r="B9659" s="3"/>
    </row>
    <row r="9660" spans="2:2">
      <c r="B9660" s="3"/>
    </row>
    <row r="9661" spans="2:2">
      <c r="B9661" s="3"/>
    </row>
    <row r="9662" spans="2:2">
      <c r="B9662" s="3"/>
    </row>
    <row r="9663" spans="2:2">
      <c r="B9663" s="3"/>
    </row>
    <row r="9664" spans="2:2">
      <c r="B9664" s="3"/>
    </row>
    <row r="9665" spans="2:2">
      <c r="B9665" s="3"/>
    </row>
    <row r="9666" spans="2:2">
      <c r="B9666" s="3"/>
    </row>
    <row r="9667" spans="2:2">
      <c r="B9667" s="3"/>
    </row>
    <row r="9668" spans="2:2">
      <c r="B9668" s="3"/>
    </row>
    <row r="9669" spans="2:2">
      <c r="B9669" s="3"/>
    </row>
    <row r="9670" spans="2:2">
      <c r="B9670" s="3"/>
    </row>
    <row r="9671" spans="2:2">
      <c r="B9671" s="3"/>
    </row>
    <row r="9672" spans="2:2">
      <c r="B9672" s="3"/>
    </row>
    <row r="9673" spans="2:2">
      <c r="B9673" s="3"/>
    </row>
    <row r="9674" spans="2:2">
      <c r="B9674" s="3"/>
    </row>
    <row r="9675" spans="2:2">
      <c r="B9675" s="3"/>
    </row>
    <row r="9676" spans="2:2">
      <c r="B9676" s="3"/>
    </row>
    <row r="9677" spans="2:2">
      <c r="B9677" s="3"/>
    </row>
    <row r="9678" spans="2:2">
      <c r="B9678" s="3"/>
    </row>
    <row r="9679" spans="2:2">
      <c r="B9679" s="3"/>
    </row>
    <row r="9680" spans="2:2">
      <c r="B9680" s="3"/>
    </row>
    <row r="9681" spans="2:2">
      <c r="B9681" s="3"/>
    </row>
    <row r="9682" spans="2:2">
      <c r="B9682" s="3"/>
    </row>
    <row r="9683" spans="2:2">
      <c r="B9683" s="3"/>
    </row>
    <row r="9684" spans="2:2">
      <c r="B9684" s="3"/>
    </row>
    <row r="9685" spans="2:2">
      <c r="B9685" s="3"/>
    </row>
    <row r="9686" spans="2:2">
      <c r="B9686" s="3"/>
    </row>
    <row r="9687" spans="2:2">
      <c r="B9687" s="3"/>
    </row>
    <row r="9688" spans="2:2">
      <c r="B9688" s="3"/>
    </row>
    <row r="9689" spans="2:2">
      <c r="B9689" s="3"/>
    </row>
    <row r="9690" spans="2:2">
      <c r="B9690" s="3"/>
    </row>
    <row r="9691" spans="2:2">
      <c r="B9691" s="3"/>
    </row>
    <row r="9692" spans="2:2">
      <c r="B9692" s="3"/>
    </row>
    <row r="9693" spans="2:2">
      <c r="B9693" s="3"/>
    </row>
    <row r="9694" spans="2:2">
      <c r="B9694" s="3"/>
    </row>
    <row r="9695" spans="2:2">
      <c r="B9695" s="3"/>
    </row>
    <row r="9696" spans="2:2">
      <c r="B9696" s="3"/>
    </row>
    <row r="9697" spans="2:2">
      <c r="B9697" s="3"/>
    </row>
    <row r="9698" spans="2:2">
      <c r="B9698" s="3"/>
    </row>
    <row r="9699" spans="2:2">
      <c r="B9699" s="3"/>
    </row>
    <row r="9700" spans="2:2">
      <c r="B9700" s="3"/>
    </row>
    <row r="9701" spans="2:2">
      <c r="B9701" s="3"/>
    </row>
    <row r="9702" spans="2:2">
      <c r="B9702" s="3"/>
    </row>
    <row r="9703" spans="2:2">
      <c r="B9703" s="3"/>
    </row>
    <row r="9704" spans="2:2">
      <c r="B9704" s="3"/>
    </row>
    <row r="9705" spans="2:2">
      <c r="B9705" s="3"/>
    </row>
    <row r="9706" spans="2:2">
      <c r="B9706" s="3"/>
    </row>
    <row r="9707" spans="2:2">
      <c r="B9707" s="3"/>
    </row>
    <row r="9708" spans="2:2">
      <c r="B9708" s="3"/>
    </row>
    <row r="9709" spans="2:2">
      <c r="B9709" s="3"/>
    </row>
    <row r="9710" spans="2:2">
      <c r="B9710" s="3"/>
    </row>
    <row r="9711" spans="2:2">
      <c r="B9711" s="3"/>
    </row>
    <row r="9712" spans="2:2">
      <c r="B9712" s="3"/>
    </row>
    <row r="9713" spans="2:2">
      <c r="B9713" s="3"/>
    </row>
    <row r="9714" spans="2:2">
      <c r="B9714" s="3"/>
    </row>
    <row r="9715" spans="2:2">
      <c r="B9715" s="3"/>
    </row>
    <row r="9716" spans="2:2">
      <c r="B9716" s="3"/>
    </row>
    <row r="9717" spans="2:2">
      <c r="B9717" s="3"/>
    </row>
    <row r="9718" spans="2:2">
      <c r="B9718" s="3"/>
    </row>
    <row r="9719" spans="2:2">
      <c r="B9719" s="3"/>
    </row>
    <row r="9720" spans="2:2">
      <c r="B9720" s="3"/>
    </row>
    <row r="9721" spans="2:2">
      <c r="B9721" s="3"/>
    </row>
    <row r="9722" spans="2:2">
      <c r="B9722" s="3"/>
    </row>
    <row r="9723" spans="2:2">
      <c r="B9723" s="3"/>
    </row>
    <row r="9724" spans="2:2">
      <c r="B9724" s="3"/>
    </row>
    <row r="9725" spans="2:2">
      <c r="B9725" s="3"/>
    </row>
    <row r="9726" spans="2:2">
      <c r="B9726" s="3"/>
    </row>
    <row r="9727" spans="2:2">
      <c r="B9727" s="3"/>
    </row>
    <row r="9728" spans="2:2">
      <c r="B9728" s="3"/>
    </row>
    <row r="9729" spans="2:2">
      <c r="B9729" s="3"/>
    </row>
    <row r="9730" spans="2:2">
      <c r="B9730" s="3"/>
    </row>
    <row r="9731" spans="2:2">
      <c r="B9731" s="3"/>
    </row>
    <row r="9732" spans="2:2">
      <c r="B9732" s="3"/>
    </row>
    <row r="9733" spans="2:2">
      <c r="B9733" s="3"/>
    </row>
    <row r="9734" spans="2:2">
      <c r="B9734" s="3"/>
    </row>
    <row r="9735" spans="2:2">
      <c r="B9735" s="3"/>
    </row>
    <row r="9736" spans="2:2">
      <c r="B9736" s="3"/>
    </row>
    <row r="9737" spans="2:2">
      <c r="B9737" s="3"/>
    </row>
    <row r="9738" spans="2:2">
      <c r="B9738" s="3"/>
    </row>
    <row r="9739" spans="2:2">
      <c r="B9739" s="3"/>
    </row>
    <row r="9740" spans="2:2">
      <c r="B9740" s="3"/>
    </row>
    <row r="9741" spans="2:2">
      <c r="B9741" s="3"/>
    </row>
    <row r="9742" spans="2:2">
      <c r="B9742" s="3"/>
    </row>
    <row r="9743" spans="2:2">
      <c r="B9743" s="3"/>
    </row>
    <row r="9744" spans="2:2">
      <c r="B9744" s="3"/>
    </row>
    <row r="9745" spans="2:2">
      <c r="B9745" s="3"/>
    </row>
    <row r="9746" spans="2:2">
      <c r="B9746" s="3"/>
    </row>
    <row r="9747" spans="2:2">
      <c r="B9747" s="3"/>
    </row>
    <row r="9748" spans="2:2">
      <c r="B9748" s="3"/>
    </row>
    <row r="9749" spans="2:2">
      <c r="B9749" s="3"/>
    </row>
    <row r="9750" spans="2:2">
      <c r="B9750" s="3"/>
    </row>
    <row r="9751" spans="2:2">
      <c r="B9751" s="3"/>
    </row>
    <row r="9752" spans="2:2">
      <c r="B9752" s="3"/>
    </row>
    <row r="9753" spans="2:2">
      <c r="B9753" s="3"/>
    </row>
    <row r="9754" spans="2:2">
      <c r="B9754" s="3"/>
    </row>
    <row r="9755" spans="2:2">
      <c r="B9755" s="3"/>
    </row>
    <row r="9756" spans="2:2">
      <c r="B9756" s="3"/>
    </row>
    <row r="9757" spans="2:2">
      <c r="B9757" s="3"/>
    </row>
    <row r="9758" spans="2:2">
      <c r="B9758" s="3"/>
    </row>
    <row r="9759" spans="2:2">
      <c r="B9759" s="3"/>
    </row>
    <row r="9760" spans="2:2">
      <c r="B9760" s="3"/>
    </row>
    <row r="9761" spans="2:2">
      <c r="B9761" s="3"/>
    </row>
    <row r="9762" spans="2:2">
      <c r="B9762" s="3"/>
    </row>
    <row r="9763" spans="2:2">
      <c r="B9763" s="3"/>
    </row>
    <row r="9764" spans="2:2">
      <c r="B9764" s="3"/>
    </row>
    <row r="9765" spans="2:2">
      <c r="B9765" s="3"/>
    </row>
    <row r="9766" spans="2:2">
      <c r="B9766" s="3"/>
    </row>
    <row r="9767" spans="2:2">
      <c r="B9767" s="3"/>
    </row>
    <row r="9768" spans="2:2">
      <c r="B9768" s="3"/>
    </row>
    <row r="9769" spans="2:2">
      <c r="B9769" s="3"/>
    </row>
    <row r="9770" spans="2:2">
      <c r="B9770" s="3"/>
    </row>
    <row r="9771" spans="2:2">
      <c r="B9771" s="3"/>
    </row>
    <row r="9772" spans="2:2">
      <c r="B9772" s="3"/>
    </row>
    <row r="9773" spans="2:2">
      <c r="B9773" s="3"/>
    </row>
    <row r="9774" spans="2:2">
      <c r="B9774" s="3"/>
    </row>
    <row r="9775" spans="2:2">
      <c r="B9775" s="3"/>
    </row>
    <row r="9776" spans="2:2">
      <c r="B9776" s="3"/>
    </row>
    <row r="9777" spans="2:2">
      <c r="B9777" s="3"/>
    </row>
    <row r="9778" spans="2:2">
      <c r="B9778" s="3"/>
    </row>
    <row r="9779" spans="2:2">
      <c r="B9779" s="3"/>
    </row>
    <row r="9780" spans="2:2">
      <c r="B9780" s="3"/>
    </row>
    <row r="9781" spans="2:2">
      <c r="B9781" s="3"/>
    </row>
    <row r="9782" spans="2:2">
      <c r="B9782" s="3"/>
    </row>
    <row r="9783" spans="2:2">
      <c r="B9783" s="3"/>
    </row>
    <row r="9784" spans="2:2">
      <c r="B9784" s="3"/>
    </row>
    <row r="9785" spans="2:2">
      <c r="B9785" s="3"/>
    </row>
    <row r="9786" spans="2:2">
      <c r="B9786" s="3"/>
    </row>
    <row r="9787" spans="2:2">
      <c r="B9787" s="3"/>
    </row>
    <row r="9788" spans="2:2">
      <c r="B9788" s="3"/>
    </row>
    <row r="9789" spans="2:2">
      <c r="B9789" s="3"/>
    </row>
    <row r="9790" spans="2:2">
      <c r="B9790" s="3"/>
    </row>
    <row r="9791" spans="2:2">
      <c r="B9791" s="3"/>
    </row>
    <row r="9792" spans="2:2">
      <c r="B9792" s="3"/>
    </row>
    <row r="9793" spans="2:2">
      <c r="B9793" s="3"/>
    </row>
    <row r="9794" spans="2:2">
      <c r="B9794" s="3"/>
    </row>
    <row r="9795" spans="2:2">
      <c r="B9795" s="3"/>
    </row>
    <row r="9796" spans="2:2">
      <c r="B9796" s="3"/>
    </row>
    <row r="9797" spans="2:2">
      <c r="B9797" s="3"/>
    </row>
    <row r="9798" spans="2:2">
      <c r="B9798" s="3"/>
    </row>
    <row r="9799" spans="2:2">
      <c r="B9799" s="3"/>
    </row>
    <row r="9800" spans="2:2">
      <c r="B9800" s="3"/>
    </row>
    <row r="9801" spans="2:2">
      <c r="B9801" s="3"/>
    </row>
    <row r="9802" spans="2:2">
      <c r="B9802" s="3"/>
    </row>
    <row r="9803" spans="2:2">
      <c r="B9803" s="3"/>
    </row>
    <row r="9804" spans="2:2">
      <c r="B9804" s="3"/>
    </row>
    <row r="9805" spans="2:2">
      <c r="B9805" s="3"/>
    </row>
    <row r="9806" spans="2:2">
      <c r="B9806" s="3"/>
    </row>
    <row r="9807" spans="2:2">
      <c r="B9807" s="3"/>
    </row>
    <row r="9808" spans="2:2">
      <c r="B9808" s="3"/>
    </row>
    <row r="9809" spans="2:2">
      <c r="B9809" s="3"/>
    </row>
    <row r="9810" spans="2:2">
      <c r="B9810" s="3"/>
    </row>
    <row r="9811" spans="2:2">
      <c r="B9811" s="3"/>
    </row>
    <row r="9812" spans="2:2">
      <c r="B9812" s="3"/>
    </row>
    <row r="9813" spans="2:2">
      <c r="B9813" s="3"/>
    </row>
    <row r="9814" spans="2:2">
      <c r="B9814" s="3"/>
    </row>
    <row r="9815" spans="2:2">
      <c r="B9815" s="3"/>
    </row>
    <row r="9816" spans="2:2">
      <c r="B9816" s="3"/>
    </row>
    <row r="9817" spans="2:2">
      <c r="B9817" s="3"/>
    </row>
    <row r="9818" spans="2:2">
      <c r="B9818" s="3"/>
    </row>
    <row r="9819" spans="2:2">
      <c r="B9819" s="3"/>
    </row>
    <row r="9820" spans="2:2">
      <c r="B9820" s="3"/>
    </row>
    <row r="9821" spans="2:2">
      <c r="B9821" s="3"/>
    </row>
    <row r="9822" spans="2:2">
      <c r="B9822" s="3"/>
    </row>
    <row r="9823" spans="2:2">
      <c r="B9823" s="3"/>
    </row>
    <row r="9824" spans="2:2">
      <c r="B9824" s="3"/>
    </row>
    <row r="9825" spans="2:2">
      <c r="B9825" s="3"/>
    </row>
    <row r="9826" spans="2:2">
      <c r="B9826" s="3"/>
    </row>
    <row r="9827" spans="2:2">
      <c r="B9827" s="3"/>
    </row>
    <row r="9828" spans="2:2">
      <c r="B9828" s="3"/>
    </row>
    <row r="9829" spans="2:2">
      <c r="B9829" s="3"/>
    </row>
    <row r="9830" spans="2:2">
      <c r="B9830" s="3"/>
    </row>
    <row r="9831" spans="2:2">
      <c r="B9831" s="3"/>
    </row>
    <row r="9832" spans="2:2">
      <c r="B9832" s="3"/>
    </row>
    <row r="9833" spans="2:2">
      <c r="B9833" s="3"/>
    </row>
    <row r="9834" spans="2:2">
      <c r="B9834" s="3"/>
    </row>
    <row r="9835" spans="2:2">
      <c r="B9835" s="3"/>
    </row>
    <row r="9836" spans="2:2">
      <c r="B9836" s="3"/>
    </row>
    <row r="9837" spans="2:2">
      <c r="B9837" s="3"/>
    </row>
    <row r="9838" spans="2:2">
      <c r="B9838" s="3"/>
    </row>
    <row r="9839" spans="2:2">
      <c r="B9839" s="3"/>
    </row>
    <row r="9840" spans="2:2">
      <c r="B9840" s="3"/>
    </row>
    <row r="9841" spans="2:2">
      <c r="B9841" s="3"/>
    </row>
    <row r="9842" spans="2:2">
      <c r="B9842" s="3"/>
    </row>
    <row r="9843" spans="2:2">
      <c r="B9843" s="3"/>
    </row>
    <row r="9844" spans="2:2">
      <c r="B9844" s="3"/>
    </row>
    <row r="9845" spans="2:2">
      <c r="B9845" s="3"/>
    </row>
    <row r="9846" spans="2:2">
      <c r="B9846" s="3"/>
    </row>
    <row r="9847" spans="2:2">
      <c r="B9847" s="3"/>
    </row>
    <row r="9848" spans="2:2">
      <c r="B9848" s="3"/>
    </row>
    <row r="9849" spans="2:2">
      <c r="B9849" s="3"/>
    </row>
    <row r="9850" spans="2:2">
      <c r="B9850" s="3"/>
    </row>
    <row r="9851" spans="2:2">
      <c r="B9851" s="3"/>
    </row>
    <row r="9852" spans="2:2">
      <c r="B9852" s="3"/>
    </row>
    <row r="9853" spans="2:2">
      <c r="B9853" s="3"/>
    </row>
    <row r="9854" spans="2:2">
      <c r="B9854" s="3"/>
    </row>
    <row r="9855" spans="2:2">
      <c r="B9855" s="3"/>
    </row>
    <row r="9856" spans="2:2">
      <c r="B9856" s="3"/>
    </row>
    <row r="9857" spans="2:2">
      <c r="B9857" s="3"/>
    </row>
    <row r="9858" spans="2:2">
      <c r="B9858" s="3"/>
    </row>
    <row r="9859" spans="2:2">
      <c r="B9859" s="3"/>
    </row>
    <row r="9860" spans="2:2">
      <c r="B9860" s="3"/>
    </row>
    <row r="9861" spans="2:2">
      <c r="B9861" s="3"/>
    </row>
    <row r="9862" spans="2:2">
      <c r="B9862" s="3"/>
    </row>
    <row r="9863" spans="2:2">
      <c r="B9863" s="3"/>
    </row>
    <row r="9864" spans="2:2">
      <c r="B9864" s="3"/>
    </row>
    <row r="9865" spans="2:2">
      <c r="B9865" s="3"/>
    </row>
    <row r="9866" spans="2:2">
      <c r="B9866" s="3"/>
    </row>
    <row r="9867" spans="2:2">
      <c r="B9867" s="3"/>
    </row>
    <row r="9868" spans="2:2">
      <c r="B9868" s="3"/>
    </row>
    <row r="9869" spans="2:2">
      <c r="B9869" s="3"/>
    </row>
    <row r="9870" spans="2:2">
      <c r="B9870" s="3"/>
    </row>
    <row r="9871" spans="2:2">
      <c r="B9871" s="3"/>
    </row>
    <row r="9872" spans="2:2">
      <c r="B9872" s="3"/>
    </row>
    <row r="9873" spans="2:2">
      <c r="B9873" s="3"/>
    </row>
    <row r="9874" spans="2:2">
      <c r="B9874" s="3"/>
    </row>
    <row r="9875" spans="2:2">
      <c r="B9875" s="3"/>
    </row>
    <row r="9876" spans="2:2">
      <c r="B9876" s="3"/>
    </row>
    <row r="9877" spans="2:2">
      <c r="B9877" s="3"/>
    </row>
    <row r="9878" spans="2:2">
      <c r="B9878" s="3"/>
    </row>
    <row r="9879" spans="2:2">
      <c r="B9879" s="3"/>
    </row>
    <row r="9880" spans="2:2">
      <c r="B9880" s="3"/>
    </row>
    <row r="9881" spans="2:2">
      <c r="B9881" s="3"/>
    </row>
    <row r="9882" spans="2:2">
      <c r="B9882" s="3"/>
    </row>
    <row r="9883" spans="2:2">
      <c r="B9883" s="3"/>
    </row>
    <row r="9884" spans="2:2">
      <c r="B9884" s="3"/>
    </row>
    <row r="9885" spans="2:2">
      <c r="B9885" s="3"/>
    </row>
    <row r="9886" spans="2:2">
      <c r="B9886" s="3"/>
    </row>
    <row r="9887" spans="2:2">
      <c r="B9887" s="3"/>
    </row>
    <row r="9888" spans="2:2">
      <c r="B9888" s="3"/>
    </row>
    <row r="9889" spans="2:2">
      <c r="B9889" s="3"/>
    </row>
    <row r="9890" spans="2:2">
      <c r="B9890" s="3"/>
    </row>
    <row r="9891" spans="2:2">
      <c r="B9891" s="3"/>
    </row>
    <row r="9892" spans="2:2">
      <c r="B9892" s="3"/>
    </row>
    <row r="9893" spans="2:2">
      <c r="B9893" s="3"/>
    </row>
    <row r="9894" spans="2:2">
      <c r="B9894" s="3"/>
    </row>
    <row r="9895" spans="2:2">
      <c r="B9895" s="3"/>
    </row>
    <row r="9896" spans="2:2">
      <c r="B9896" s="3"/>
    </row>
    <row r="9897" spans="2:2">
      <c r="B9897" s="3"/>
    </row>
    <row r="9898" spans="2:2">
      <c r="B9898" s="3"/>
    </row>
    <row r="9899" spans="2:2">
      <c r="B9899" s="3"/>
    </row>
    <row r="9900" spans="2:2">
      <c r="B9900" s="3"/>
    </row>
    <row r="9901" spans="2:2">
      <c r="B9901" s="3"/>
    </row>
    <row r="9902" spans="2:2">
      <c r="B9902" s="3"/>
    </row>
    <row r="9903" spans="2:2">
      <c r="B9903" s="3"/>
    </row>
    <row r="9904" spans="2:2">
      <c r="B9904" s="3"/>
    </row>
    <row r="9905" spans="2:2">
      <c r="B9905" s="3"/>
    </row>
    <row r="9906" spans="2:2">
      <c r="B9906" s="3"/>
    </row>
    <row r="9907" spans="2:2">
      <c r="B9907" s="3"/>
    </row>
    <row r="9908" spans="2:2">
      <c r="B9908" s="3"/>
    </row>
    <row r="9909" spans="2:2">
      <c r="B9909" s="3"/>
    </row>
    <row r="9910" spans="2:2">
      <c r="B9910" s="3"/>
    </row>
    <row r="9911" spans="2:2">
      <c r="B9911" s="3"/>
    </row>
    <row r="9912" spans="2:2">
      <c r="B9912" s="3"/>
    </row>
    <row r="9913" spans="2:2">
      <c r="B9913" s="3"/>
    </row>
    <row r="9914" spans="2:2">
      <c r="B9914" s="3"/>
    </row>
    <row r="9915" spans="2:2">
      <c r="B9915" s="3"/>
    </row>
    <row r="9916" spans="2:2">
      <c r="B9916" s="3"/>
    </row>
    <row r="9917" spans="2:2">
      <c r="B9917" s="3"/>
    </row>
    <row r="9918" spans="2:2">
      <c r="B9918" s="3"/>
    </row>
    <row r="9919" spans="2:2">
      <c r="B9919" s="3"/>
    </row>
    <row r="9920" spans="2:2">
      <c r="B9920" s="3"/>
    </row>
    <row r="9921" spans="2:2">
      <c r="B9921" s="3"/>
    </row>
    <row r="9922" spans="2:2">
      <c r="B9922" s="3"/>
    </row>
    <row r="9923" spans="2:2">
      <c r="B9923" s="3"/>
    </row>
    <row r="9924" spans="2:2">
      <c r="B9924" s="3"/>
    </row>
    <row r="9925" spans="2:2">
      <c r="B9925" s="3"/>
    </row>
    <row r="9926" spans="2:2">
      <c r="B9926" s="3"/>
    </row>
    <row r="9927" spans="2:2">
      <c r="B9927" s="3"/>
    </row>
    <row r="9928" spans="2:2">
      <c r="B9928" s="3"/>
    </row>
    <row r="9929" spans="2:2">
      <c r="B9929" s="3"/>
    </row>
    <row r="9930" spans="2:2">
      <c r="B9930" s="3"/>
    </row>
    <row r="9931" spans="2:2">
      <c r="B9931" s="3"/>
    </row>
    <row r="9932" spans="2:2">
      <c r="B9932" s="3"/>
    </row>
    <row r="9933" spans="2:2">
      <c r="B9933" s="3"/>
    </row>
    <row r="9934" spans="2:2">
      <c r="B9934" s="3"/>
    </row>
    <row r="9935" spans="2:2">
      <c r="B9935" s="3"/>
    </row>
    <row r="9936" spans="2:2">
      <c r="B9936" s="3"/>
    </row>
    <row r="9937" spans="2:2">
      <c r="B9937" s="3"/>
    </row>
    <row r="9938" spans="2:2">
      <c r="B9938" s="3"/>
    </row>
    <row r="9939" spans="2:2">
      <c r="B9939" s="3"/>
    </row>
    <row r="9940" spans="2:2">
      <c r="B9940" s="3"/>
    </row>
    <row r="9941" spans="2:2">
      <c r="B9941" s="3"/>
    </row>
    <row r="9942" spans="2:2">
      <c r="B9942" s="3"/>
    </row>
    <row r="9943" spans="2:2">
      <c r="B9943" s="3"/>
    </row>
    <row r="9944" spans="2:2">
      <c r="B9944" s="3"/>
    </row>
    <row r="9945" spans="2:2">
      <c r="B9945" s="3"/>
    </row>
    <row r="9946" spans="2:2">
      <c r="B9946" s="3"/>
    </row>
    <row r="9947" spans="2:2">
      <c r="B9947" s="3"/>
    </row>
    <row r="9948" spans="2:2">
      <c r="B9948" s="3"/>
    </row>
    <row r="9949" spans="2:2">
      <c r="B9949" s="3"/>
    </row>
    <row r="9950" spans="2:2">
      <c r="B9950" s="3"/>
    </row>
    <row r="9951" spans="2:2">
      <c r="B9951" s="3"/>
    </row>
    <row r="9952" spans="2:2">
      <c r="B9952" s="3"/>
    </row>
    <row r="9953" spans="2:2">
      <c r="B9953" s="3"/>
    </row>
    <row r="9954" spans="2:2">
      <c r="B9954" s="3"/>
    </row>
    <row r="9955" spans="2:2">
      <c r="B9955" s="3"/>
    </row>
    <row r="9956" spans="2:2">
      <c r="B9956" s="3"/>
    </row>
    <row r="9957" spans="2:2">
      <c r="B9957" s="3"/>
    </row>
    <row r="9958" spans="2:2">
      <c r="B9958" s="3"/>
    </row>
    <row r="9959" spans="2:2">
      <c r="B9959" s="3"/>
    </row>
    <row r="9960" spans="2:2">
      <c r="B9960" s="3"/>
    </row>
    <row r="9961" spans="2:2">
      <c r="B9961" s="3"/>
    </row>
    <row r="9962" spans="2:2">
      <c r="B9962" s="3"/>
    </row>
    <row r="9963" spans="2:2">
      <c r="B9963" s="3"/>
    </row>
    <row r="9964" spans="2:2">
      <c r="B9964" s="3"/>
    </row>
    <row r="9965" spans="2:2">
      <c r="B9965" s="3"/>
    </row>
    <row r="9966" spans="2:2">
      <c r="B9966" s="3"/>
    </row>
    <row r="9967" spans="2:2">
      <c r="B9967" s="3"/>
    </row>
    <row r="9968" spans="2:2">
      <c r="B9968" s="3"/>
    </row>
    <row r="9969" spans="2:2">
      <c r="B9969" s="3"/>
    </row>
    <row r="9970" spans="2:2">
      <c r="B9970" s="3"/>
    </row>
    <row r="9971" spans="2:2">
      <c r="B9971" s="3"/>
    </row>
    <row r="9972" spans="2:2">
      <c r="B9972" s="3"/>
    </row>
    <row r="9973" spans="2:2">
      <c r="B9973" s="3"/>
    </row>
    <row r="9974" spans="2:2">
      <c r="B9974" s="3"/>
    </row>
    <row r="9975" spans="2:2">
      <c r="B9975" s="3"/>
    </row>
    <row r="9976" spans="2:2">
      <c r="B9976" s="3"/>
    </row>
    <row r="9977" spans="2:2">
      <c r="B9977" s="3"/>
    </row>
    <row r="9978" spans="2:2">
      <c r="B9978" s="3"/>
    </row>
    <row r="9979" spans="2:2">
      <c r="B9979" s="3"/>
    </row>
    <row r="9980" spans="2:2">
      <c r="B9980" s="3"/>
    </row>
    <row r="9981" spans="2:2">
      <c r="B9981" s="3"/>
    </row>
    <row r="9982" spans="2:2">
      <c r="B9982" s="3"/>
    </row>
    <row r="9983" spans="2:2">
      <c r="B9983" s="3"/>
    </row>
    <row r="9984" spans="2:2">
      <c r="B9984" s="3"/>
    </row>
    <row r="9985" spans="2:2">
      <c r="B9985" s="3"/>
    </row>
    <row r="9986" spans="2:2">
      <c r="B9986" s="3"/>
    </row>
    <row r="9987" spans="2:2">
      <c r="B9987" s="3"/>
    </row>
    <row r="9988" spans="2:2">
      <c r="B9988" s="3"/>
    </row>
    <row r="9989" spans="2:2">
      <c r="B9989" s="3"/>
    </row>
    <row r="9990" spans="2:2">
      <c r="B9990" s="3"/>
    </row>
    <row r="9991" spans="2:2">
      <c r="B9991" s="3"/>
    </row>
    <row r="9992" spans="2:2">
      <c r="B9992" s="3"/>
    </row>
    <row r="9993" spans="2:2">
      <c r="B9993" s="3"/>
    </row>
    <row r="9994" spans="2:2">
      <c r="B9994" s="3"/>
    </row>
    <row r="9995" spans="2:2">
      <c r="B9995" s="3"/>
    </row>
    <row r="9996" spans="2:2">
      <c r="B9996" s="3"/>
    </row>
    <row r="9997" spans="2:2">
      <c r="B9997" s="3"/>
    </row>
    <row r="9998" spans="2:2">
      <c r="B9998" s="3"/>
    </row>
    <row r="9999" spans="2:2">
      <c r="B9999" s="3"/>
    </row>
    <row r="10000" spans="2:2">
      <c r="B10000" s="3"/>
    </row>
    <row r="10001" spans="2:2">
      <c r="B10001" s="3"/>
    </row>
    <row r="10002" spans="2:2">
      <c r="B10002" s="3"/>
    </row>
    <row r="10003" spans="2:2">
      <c r="B10003" s="3"/>
    </row>
    <row r="10004" spans="2:2">
      <c r="B10004" s="3"/>
    </row>
    <row r="10005" spans="2:2">
      <c r="B10005" s="3"/>
    </row>
    <row r="10006" spans="2:2">
      <c r="B10006" s="3"/>
    </row>
    <row r="10007" spans="2:2">
      <c r="B10007" s="3"/>
    </row>
    <row r="10008" spans="2:2">
      <c r="B10008" s="3"/>
    </row>
    <row r="10009" spans="2:2">
      <c r="B10009" s="3"/>
    </row>
    <row r="10010" spans="2:2">
      <c r="B10010" s="3"/>
    </row>
    <row r="10011" spans="2:2">
      <c r="B10011" s="3"/>
    </row>
    <row r="10012" spans="2:2">
      <c r="B10012" s="3"/>
    </row>
    <row r="10013" spans="2:2">
      <c r="B10013" s="3"/>
    </row>
    <row r="10014" spans="2:2">
      <c r="B10014" s="3"/>
    </row>
    <row r="10015" spans="2:2">
      <c r="B10015" s="3"/>
    </row>
    <row r="10016" spans="2:2">
      <c r="B10016" s="3"/>
    </row>
    <row r="10017" spans="2:2">
      <c r="B10017" s="3"/>
    </row>
    <row r="10018" spans="2:2">
      <c r="B10018" s="3"/>
    </row>
    <row r="10019" spans="2:2">
      <c r="B10019" s="3"/>
    </row>
    <row r="10020" spans="2:2">
      <c r="B10020" s="3"/>
    </row>
    <row r="10021" spans="2:2">
      <c r="B10021" s="3"/>
    </row>
    <row r="10022" spans="2:2">
      <c r="B10022" s="3"/>
    </row>
    <row r="10023" spans="2:2">
      <c r="B10023" s="3"/>
    </row>
    <row r="10024" spans="2:2">
      <c r="B10024" s="3"/>
    </row>
    <row r="10025" spans="2:2">
      <c r="B10025" s="3"/>
    </row>
    <row r="10026" spans="2:2">
      <c r="B10026" s="3"/>
    </row>
    <row r="10027" spans="2:2">
      <c r="B10027" s="3"/>
    </row>
    <row r="10028" spans="2:2">
      <c r="B10028" s="3"/>
    </row>
    <row r="10029" spans="2:2">
      <c r="B10029" s="3"/>
    </row>
    <row r="10030" spans="2:2">
      <c r="B10030" s="3"/>
    </row>
    <row r="10031" spans="2:2">
      <c r="B10031" s="3"/>
    </row>
    <row r="10032" spans="2:2">
      <c r="B10032" s="3"/>
    </row>
    <row r="10033" spans="2:2">
      <c r="B10033" s="3"/>
    </row>
    <row r="10034" spans="2:2">
      <c r="B10034" s="3"/>
    </row>
    <row r="10035" spans="2:2">
      <c r="B10035" s="3"/>
    </row>
    <row r="10036" spans="2:2">
      <c r="B10036" s="3"/>
    </row>
    <row r="10037" spans="2:2">
      <c r="B10037" s="3"/>
    </row>
    <row r="10038" spans="2:2">
      <c r="B10038" s="3"/>
    </row>
    <row r="10039" spans="2:2">
      <c r="B10039" s="3"/>
    </row>
    <row r="10040" spans="2:2">
      <c r="B10040" s="3"/>
    </row>
    <row r="10041" spans="2:2">
      <c r="B10041" s="3"/>
    </row>
    <row r="10042" spans="2:2">
      <c r="B10042" s="3"/>
    </row>
    <row r="10043" spans="2:2">
      <c r="B10043" s="3"/>
    </row>
    <row r="10044" spans="2:2">
      <c r="B10044" s="3"/>
    </row>
    <row r="10045" spans="2:2">
      <c r="B10045" s="3"/>
    </row>
    <row r="10046" spans="2:2">
      <c r="B10046" s="3"/>
    </row>
    <row r="10047" spans="2:2">
      <c r="B10047" s="3"/>
    </row>
    <row r="10048" spans="2:2">
      <c r="B10048" s="3"/>
    </row>
    <row r="10049" spans="2:2">
      <c r="B10049" s="3"/>
    </row>
    <row r="10050" spans="2:2">
      <c r="B10050" s="3"/>
    </row>
    <row r="10051" spans="2:2">
      <c r="B10051" s="3"/>
    </row>
    <row r="10052" spans="2:2">
      <c r="B10052" s="3"/>
    </row>
    <row r="10053" spans="2:2">
      <c r="B10053" s="3"/>
    </row>
    <row r="10054" spans="2:2">
      <c r="B10054" s="3"/>
    </row>
    <row r="10055" spans="2:2">
      <c r="B10055" s="3"/>
    </row>
    <row r="10056" spans="2:2">
      <c r="B10056" s="3"/>
    </row>
    <row r="10057" spans="2:2">
      <c r="B10057" s="3"/>
    </row>
    <row r="10058" spans="2:2">
      <c r="B10058" s="3"/>
    </row>
    <row r="10059" spans="2:2">
      <c r="B10059" s="3"/>
    </row>
    <row r="10060" spans="2:2">
      <c r="B10060" s="3"/>
    </row>
    <row r="10061" spans="2:2">
      <c r="B10061" s="3"/>
    </row>
    <row r="10062" spans="2:2">
      <c r="B10062" s="3"/>
    </row>
    <row r="10063" spans="2:2">
      <c r="B10063" s="3"/>
    </row>
    <row r="10064" spans="2:2">
      <c r="B10064" s="3"/>
    </row>
    <row r="10065" spans="2:2">
      <c r="B10065" s="3"/>
    </row>
    <row r="10066" spans="2:2">
      <c r="B10066" s="3"/>
    </row>
    <row r="10067" spans="2:2">
      <c r="B10067" s="3"/>
    </row>
    <row r="10068" spans="2:2">
      <c r="B10068" s="3"/>
    </row>
    <row r="10069" spans="2:2">
      <c r="B10069" s="3"/>
    </row>
    <row r="10070" spans="2:2">
      <c r="B10070" s="3"/>
    </row>
    <row r="10071" spans="2:2">
      <c r="B10071" s="3"/>
    </row>
    <row r="10072" spans="2:2">
      <c r="B10072" s="3"/>
    </row>
    <row r="10073" spans="2:2">
      <c r="B10073" s="3"/>
    </row>
    <row r="10074" spans="2:2">
      <c r="B10074" s="3"/>
    </row>
    <row r="10075" spans="2:2">
      <c r="B10075" s="3"/>
    </row>
    <row r="10076" spans="2:2">
      <c r="B10076" s="3"/>
    </row>
    <row r="10077" spans="2:2">
      <c r="B10077" s="3"/>
    </row>
    <row r="10078" spans="2:2">
      <c r="B10078" s="3"/>
    </row>
    <row r="10079" spans="2:2">
      <c r="B10079" s="3"/>
    </row>
    <row r="10080" spans="2:2">
      <c r="B10080" s="3"/>
    </row>
    <row r="10081" spans="2:2">
      <c r="B10081" s="3"/>
    </row>
    <row r="10082" spans="2:2">
      <c r="B10082" s="3"/>
    </row>
    <row r="10083" spans="2:2">
      <c r="B10083" s="3"/>
    </row>
    <row r="10084" spans="2:2">
      <c r="B10084" s="3"/>
    </row>
    <row r="10085" spans="2:2">
      <c r="B10085" s="3"/>
    </row>
    <row r="10086" spans="2:2">
      <c r="B10086" s="3"/>
    </row>
    <row r="10087" spans="2:2">
      <c r="B10087" s="3"/>
    </row>
    <row r="10088" spans="2:2">
      <c r="B10088" s="3"/>
    </row>
    <row r="10089" spans="2:2">
      <c r="B10089" s="3"/>
    </row>
    <row r="10090" spans="2:2">
      <c r="B10090" s="3"/>
    </row>
    <row r="10091" spans="2:2">
      <c r="B10091" s="3"/>
    </row>
    <row r="10092" spans="2:2">
      <c r="B10092" s="3"/>
    </row>
    <row r="10093" spans="2:2">
      <c r="B10093" s="3"/>
    </row>
    <row r="10094" spans="2:2">
      <c r="B10094" s="3"/>
    </row>
    <row r="10095" spans="2:2">
      <c r="B10095" s="3"/>
    </row>
    <row r="10096" spans="2:2">
      <c r="B10096" s="3"/>
    </row>
    <row r="10097" spans="2:2">
      <c r="B10097" s="3"/>
    </row>
    <row r="10098" spans="2:2">
      <c r="B10098" s="3"/>
    </row>
    <row r="10099" spans="2:2">
      <c r="B10099" s="3"/>
    </row>
    <row r="10100" spans="2:2">
      <c r="B10100" s="3"/>
    </row>
    <row r="10101" spans="2:2">
      <c r="B10101" s="3"/>
    </row>
    <row r="10102" spans="2:2">
      <c r="B10102" s="3"/>
    </row>
    <row r="10103" spans="2:2">
      <c r="B10103" s="3"/>
    </row>
    <row r="10104" spans="2:2">
      <c r="B10104" s="3"/>
    </row>
    <row r="10105" spans="2:2">
      <c r="B10105" s="3"/>
    </row>
    <row r="10106" spans="2:2">
      <c r="B10106" s="3"/>
    </row>
    <row r="10107" spans="2:2">
      <c r="B10107" s="3"/>
    </row>
    <row r="10108" spans="2:2">
      <c r="B10108" s="3"/>
    </row>
    <row r="10109" spans="2:2">
      <c r="B10109" s="3"/>
    </row>
    <row r="10110" spans="2:2">
      <c r="B10110" s="3"/>
    </row>
    <row r="10111" spans="2:2">
      <c r="B10111" s="3"/>
    </row>
    <row r="10112" spans="2:2">
      <c r="B10112" s="3"/>
    </row>
    <row r="10113" spans="2:2">
      <c r="B10113" s="3"/>
    </row>
    <row r="10114" spans="2:2">
      <c r="B10114" s="3"/>
    </row>
    <row r="10115" spans="2:2">
      <c r="B10115" s="3"/>
    </row>
    <row r="10116" spans="2:2">
      <c r="B10116" s="3"/>
    </row>
    <row r="10117" spans="2:2">
      <c r="B10117" s="3"/>
    </row>
    <row r="10118" spans="2:2">
      <c r="B10118" s="3"/>
    </row>
    <row r="10119" spans="2:2">
      <c r="B10119" s="3"/>
    </row>
    <row r="10120" spans="2:2">
      <c r="B10120" s="3"/>
    </row>
    <row r="10121" spans="2:2">
      <c r="B10121" s="3"/>
    </row>
    <row r="10122" spans="2:2">
      <c r="B10122" s="3"/>
    </row>
    <row r="10123" spans="2:2">
      <c r="B10123" s="3"/>
    </row>
    <row r="10124" spans="2:2">
      <c r="B10124" s="3"/>
    </row>
    <row r="10125" spans="2:2">
      <c r="B10125" s="3"/>
    </row>
    <row r="10126" spans="2:2">
      <c r="B10126" s="3"/>
    </row>
    <row r="10127" spans="2:2">
      <c r="B10127" s="3"/>
    </row>
    <row r="10128" spans="2:2">
      <c r="B10128" s="3"/>
    </row>
    <row r="10129" spans="2:2">
      <c r="B10129" s="3"/>
    </row>
    <row r="10130" spans="2:2">
      <c r="B10130" s="3"/>
    </row>
    <row r="10131" spans="2:2">
      <c r="B10131" s="3"/>
    </row>
    <row r="10132" spans="2:2">
      <c r="B10132" s="3"/>
    </row>
    <row r="10133" spans="2:2">
      <c r="B10133" s="3"/>
    </row>
    <row r="10134" spans="2:2">
      <c r="B10134" s="3"/>
    </row>
    <row r="10135" spans="2:2">
      <c r="B10135" s="3"/>
    </row>
    <row r="10136" spans="2:2">
      <c r="B10136" s="3"/>
    </row>
    <row r="10137" spans="2:2">
      <c r="B10137" s="3"/>
    </row>
    <row r="10138" spans="2:2">
      <c r="B10138" s="3"/>
    </row>
    <row r="10139" spans="2:2">
      <c r="B10139" s="3"/>
    </row>
    <row r="10140" spans="2:2">
      <c r="B10140" s="3"/>
    </row>
    <row r="10141" spans="2:2">
      <c r="B10141" s="3"/>
    </row>
    <row r="10142" spans="2:2">
      <c r="B10142" s="3"/>
    </row>
    <row r="10143" spans="2:2">
      <c r="B10143" s="3"/>
    </row>
    <row r="10144" spans="2:2">
      <c r="B10144" s="3"/>
    </row>
    <row r="10145" spans="2:2">
      <c r="B10145" s="3"/>
    </row>
    <row r="10146" spans="2:2">
      <c r="B10146" s="3"/>
    </row>
    <row r="10147" spans="2:2">
      <c r="B10147" s="3"/>
    </row>
    <row r="10148" spans="2:2">
      <c r="B10148" s="3"/>
    </row>
    <row r="10149" spans="2:2">
      <c r="B10149" s="3"/>
    </row>
    <row r="10150" spans="2:2">
      <c r="B10150" s="3"/>
    </row>
    <row r="10151" spans="2:2">
      <c r="B10151" s="3"/>
    </row>
    <row r="10152" spans="2:2">
      <c r="B10152" s="3"/>
    </row>
    <row r="10153" spans="2:2">
      <c r="B10153" s="3"/>
    </row>
    <row r="10154" spans="2:2">
      <c r="B10154" s="3"/>
    </row>
    <row r="10155" spans="2:2">
      <c r="B10155" s="3"/>
    </row>
    <row r="10156" spans="2:2">
      <c r="B10156" s="3"/>
    </row>
    <row r="10157" spans="2:2">
      <c r="B10157" s="3"/>
    </row>
    <row r="10158" spans="2:2">
      <c r="B10158" s="3"/>
    </row>
    <row r="10159" spans="2:2">
      <c r="B10159" s="3"/>
    </row>
    <row r="10160" spans="2:2">
      <c r="B10160" s="3"/>
    </row>
    <row r="10161" spans="2:2">
      <c r="B10161" s="3"/>
    </row>
    <row r="10162" spans="2:2">
      <c r="B10162" s="3"/>
    </row>
    <row r="10163" spans="2:2">
      <c r="B10163" s="3"/>
    </row>
    <row r="10164" spans="2:2">
      <c r="B10164" s="3"/>
    </row>
    <row r="10165" spans="2:2">
      <c r="B10165" s="3"/>
    </row>
    <row r="10166" spans="2:2">
      <c r="B10166" s="3"/>
    </row>
    <row r="10167" spans="2:2">
      <c r="B10167" s="3"/>
    </row>
    <row r="10168" spans="2:2">
      <c r="B10168" s="3"/>
    </row>
    <row r="10169" spans="2:2">
      <c r="B10169" s="3"/>
    </row>
    <row r="10170" spans="2:2">
      <c r="B10170" s="3"/>
    </row>
    <row r="10171" spans="2:2">
      <c r="B10171" s="3"/>
    </row>
    <row r="10172" spans="2:2">
      <c r="B10172" s="3"/>
    </row>
    <row r="10173" spans="2:2">
      <c r="B10173" s="3"/>
    </row>
    <row r="10174" spans="2:2">
      <c r="B10174" s="3"/>
    </row>
    <row r="10175" spans="2:2">
      <c r="B10175" s="3"/>
    </row>
    <row r="10176" spans="2:2">
      <c r="B10176" s="3"/>
    </row>
    <row r="10177" spans="2:2">
      <c r="B10177" s="3"/>
    </row>
    <row r="10178" spans="2:2">
      <c r="B10178" s="3"/>
    </row>
    <row r="10179" spans="2:2">
      <c r="B10179" s="3"/>
    </row>
    <row r="10180" spans="2:2">
      <c r="B10180" s="3"/>
    </row>
    <row r="10181" spans="2:2">
      <c r="B10181" s="3"/>
    </row>
    <row r="10182" spans="2:2">
      <c r="B10182" s="3"/>
    </row>
    <row r="10183" spans="2:2">
      <c r="B10183" s="3"/>
    </row>
    <row r="10184" spans="2:2">
      <c r="B10184" s="3"/>
    </row>
    <row r="10185" spans="2:2">
      <c r="B10185" s="3"/>
    </row>
    <row r="10186" spans="2:2">
      <c r="B10186" s="3"/>
    </row>
    <row r="10187" spans="2:2">
      <c r="B10187" s="3"/>
    </row>
    <row r="10188" spans="2:2">
      <c r="B10188" s="3"/>
    </row>
    <row r="10189" spans="2:2">
      <c r="B10189" s="3"/>
    </row>
    <row r="10190" spans="2:2">
      <c r="B10190" s="3"/>
    </row>
    <row r="10191" spans="2:2">
      <c r="B10191" s="3"/>
    </row>
    <row r="10192" spans="2:2">
      <c r="B10192" s="3"/>
    </row>
    <row r="10193" spans="2:2">
      <c r="B10193" s="3"/>
    </row>
    <row r="10194" spans="2:2">
      <c r="B10194" s="3"/>
    </row>
    <row r="10195" spans="2:2">
      <c r="B10195" s="3"/>
    </row>
    <row r="10196" spans="2:2">
      <c r="B10196" s="3"/>
    </row>
    <row r="10197" spans="2:2">
      <c r="B10197" s="3"/>
    </row>
    <row r="10198" spans="2:2">
      <c r="B10198" s="3"/>
    </row>
    <row r="10199" spans="2:2">
      <c r="B10199" s="3"/>
    </row>
    <row r="10200" spans="2:2">
      <c r="B10200" s="3"/>
    </row>
    <row r="10201" spans="2:2">
      <c r="B10201" s="3"/>
    </row>
    <row r="10202" spans="2:2">
      <c r="B10202" s="3"/>
    </row>
    <row r="10203" spans="2:2">
      <c r="B10203" s="3"/>
    </row>
    <row r="10204" spans="2:2">
      <c r="B10204" s="3"/>
    </row>
    <row r="10205" spans="2:2">
      <c r="B10205" s="3"/>
    </row>
    <row r="10206" spans="2:2">
      <c r="B10206" s="3"/>
    </row>
    <row r="10207" spans="2:2">
      <c r="B10207" s="3"/>
    </row>
    <row r="10208" spans="2:2">
      <c r="B10208" s="3"/>
    </row>
    <row r="10209" spans="2:2">
      <c r="B10209" s="3"/>
    </row>
    <row r="10210" spans="2:2">
      <c r="B10210" s="3"/>
    </row>
    <row r="10211" spans="2:2">
      <c r="B10211" s="3"/>
    </row>
    <row r="10212" spans="2:2">
      <c r="B10212" s="3"/>
    </row>
    <row r="10213" spans="2:2">
      <c r="B10213" s="3"/>
    </row>
    <row r="10214" spans="2:2">
      <c r="B10214" s="3"/>
    </row>
    <row r="10215" spans="2:2">
      <c r="B10215" s="3"/>
    </row>
    <row r="10216" spans="2:2">
      <c r="B10216" s="3"/>
    </row>
    <row r="10217" spans="2:2">
      <c r="B10217" s="3"/>
    </row>
    <row r="10218" spans="2:2">
      <c r="B10218" s="3"/>
    </row>
    <row r="10219" spans="2:2">
      <c r="B10219" s="3"/>
    </row>
    <row r="10220" spans="2:2">
      <c r="B10220" s="3"/>
    </row>
    <row r="10221" spans="2:2">
      <c r="B10221" s="3"/>
    </row>
    <row r="10222" spans="2:2">
      <c r="B10222" s="3"/>
    </row>
    <row r="10223" spans="2:2">
      <c r="B10223" s="3"/>
    </row>
    <row r="10224" spans="2:2">
      <c r="B10224" s="3"/>
    </row>
    <row r="10225" spans="2:2">
      <c r="B10225" s="3"/>
    </row>
    <row r="10226" spans="2:2">
      <c r="B10226" s="3"/>
    </row>
    <row r="10227" spans="2:2">
      <c r="B10227" s="3"/>
    </row>
    <row r="10228" spans="2:2">
      <c r="B10228" s="3"/>
    </row>
    <row r="10229" spans="2:2">
      <c r="B10229" s="3"/>
    </row>
    <row r="10230" spans="2:2">
      <c r="B10230" s="3"/>
    </row>
    <row r="10231" spans="2:2">
      <c r="B10231" s="3"/>
    </row>
    <row r="10232" spans="2:2">
      <c r="B10232" s="3"/>
    </row>
    <row r="10233" spans="2:2">
      <c r="B10233" s="3"/>
    </row>
    <row r="10234" spans="2:2">
      <c r="B10234" s="3"/>
    </row>
    <row r="10235" spans="2:2">
      <c r="B10235" s="3"/>
    </row>
    <row r="10236" spans="2:2">
      <c r="B10236" s="3"/>
    </row>
    <row r="10237" spans="2:2">
      <c r="B10237" s="3"/>
    </row>
    <row r="10238" spans="2:2">
      <c r="B10238" s="3"/>
    </row>
    <row r="10239" spans="2:2">
      <c r="B10239" s="3"/>
    </row>
    <row r="10240" spans="2:2">
      <c r="B10240" s="3"/>
    </row>
    <row r="10241" spans="2:2">
      <c r="B10241" s="3"/>
    </row>
    <row r="10242" spans="2:2">
      <c r="B10242" s="3"/>
    </row>
    <row r="10243" spans="2:2">
      <c r="B10243" s="3"/>
    </row>
    <row r="10244" spans="2:2">
      <c r="B10244" s="3"/>
    </row>
    <row r="10245" spans="2:2">
      <c r="B10245" s="3"/>
    </row>
    <row r="10246" spans="2:2">
      <c r="B10246" s="3"/>
    </row>
    <row r="10247" spans="2:2">
      <c r="B10247" s="3"/>
    </row>
    <row r="10248" spans="2:2">
      <c r="B10248" s="3"/>
    </row>
    <row r="10249" spans="2:2">
      <c r="B10249" s="3"/>
    </row>
    <row r="10250" spans="2:2">
      <c r="B10250" s="3"/>
    </row>
    <row r="10251" spans="2:2">
      <c r="B10251" s="3"/>
    </row>
    <row r="10252" spans="2:2">
      <c r="B10252" s="3"/>
    </row>
    <row r="10253" spans="2:2">
      <c r="B10253" s="3"/>
    </row>
    <row r="10254" spans="2:2">
      <c r="B10254" s="3"/>
    </row>
    <row r="10255" spans="2:2">
      <c r="B10255" s="3"/>
    </row>
    <row r="10256" spans="2:2">
      <c r="B10256" s="3"/>
    </row>
    <row r="10257" spans="2:2">
      <c r="B10257" s="3"/>
    </row>
    <row r="10258" spans="2:2">
      <c r="B10258" s="3"/>
    </row>
    <row r="10259" spans="2:2">
      <c r="B10259" s="3"/>
    </row>
    <row r="10260" spans="2:2">
      <c r="B10260" s="3"/>
    </row>
    <row r="10261" spans="2:2">
      <c r="B10261" s="3"/>
    </row>
    <row r="10262" spans="2:2">
      <c r="B10262" s="3"/>
    </row>
    <row r="10263" spans="2:2">
      <c r="B10263" s="3"/>
    </row>
    <row r="10264" spans="2:2">
      <c r="B10264" s="3"/>
    </row>
    <row r="10265" spans="2:2">
      <c r="B10265" s="3"/>
    </row>
    <row r="10266" spans="2:2">
      <c r="B10266" s="3"/>
    </row>
    <row r="10267" spans="2:2">
      <c r="B10267" s="3"/>
    </row>
    <row r="10268" spans="2:2">
      <c r="B10268" s="3"/>
    </row>
    <row r="10269" spans="2:2">
      <c r="B10269" s="3"/>
    </row>
    <row r="10270" spans="2:2">
      <c r="B10270" s="3"/>
    </row>
    <row r="10271" spans="2:2">
      <c r="B10271" s="3"/>
    </row>
    <row r="10272" spans="2:2">
      <c r="B10272" s="3"/>
    </row>
    <row r="10273" spans="2:2">
      <c r="B10273" s="3"/>
    </row>
    <row r="10274" spans="2:2">
      <c r="B10274" s="3"/>
    </row>
    <row r="10275" spans="2:2">
      <c r="B10275" s="3"/>
    </row>
    <row r="10276" spans="2:2">
      <c r="B10276" s="3"/>
    </row>
    <row r="10277" spans="2:2">
      <c r="B10277" s="3"/>
    </row>
    <row r="10278" spans="2:2">
      <c r="B10278" s="3"/>
    </row>
    <row r="10279" spans="2:2">
      <c r="B10279" s="3"/>
    </row>
    <row r="10280" spans="2:2">
      <c r="B10280" s="3"/>
    </row>
    <row r="10281" spans="2:2">
      <c r="B10281" s="3"/>
    </row>
    <row r="10282" spans="2:2">
      <c r="B10282" s="3"/>
    </row>
    <row r="10283" spans="2:2">
      <c r="B10283" s="3"/>
    </row>
    <row r="10284" spans="2:2">
      <c r="B10284" s="3"/>
    </row>
    <row r="10285" spans="2:2">
      <c r="B10285" s="3"/>
    </row>
    <row r="10286" spans="2:2">
      <c r="B10286" s="3"/>
    </row>
    <row r="10287" spans="2:2">
      <c r="B10287" s="3"/>
    </row>
    <row r="10288" spans="2:2">
      <c r="B10288" s="3"/>
    </row>
    <row r="10289" spans="2:2">
      <c r="B10289" s="3"/>
    </row>
    <row r="10290" spans="2:2">
      <c r="B10290" s="3"/>
    </row>
    <row r="10291" spans="2:2">
      <c r="B10291" s="3"/>
    </row>
    <row r="10292" spans="2:2">
      <c r="B10292" s="3"/>
    </row>
    <row r="10293" spans="2:2">
      <c r="B10293" s="3"/>
    </row>
    <row r="10294" spans="2:2">
      <c r="B10294" s="3"/>
    </row>
    <row r="10295" spans="2:2">
      <c r="B10295" s="3"/>
    </row>
    <row r="10296" spans="2:2">
      <c r="B10296" s="3"/>
    </row>
    <row r="10297" spans="2:2">
      <c r="B10297" s="3"/>
    </row>
    <row r="10298" spans="2:2">
      <c r="B10298" s="3"/>
    </row>
    <row r="10299" spans="2:2">
      <c r="B10299" s="3"/>
    </row>
    <row r="10300" spans="2:2">
      <c r="B10300" s="3"/>
    </row>
    <row r="10301" spans="2:2">
      <c r="B10301" s="3"/>
    </row>
    <row r="10302" spans="2:2">
      <c r="B10302" s="3"/>
    </row>
    <row r="10303" spans="2:2">
      <c r="B10303" s="3"/>
    </row>
    <row r="10304" spans="2:2">
      <c r="B10304" s="3"/>
    </row>
    <row r="10305" spans="2:2">
      <c r="B10305" s="3"/>
    </row>
    <row r="10306" spans="2:2">
      <c r="B10306" s="3"/>
    </row>
    <row r="10307" spans="2:2">
      <c r="B10307" s="3"/>
    </row>
    <row r="10308" spans="2:2">
      <c r="B10308" s="3"/>
    </row>
    <row r="10309" spans="2:2">
      <c r="B10309" s="3"/>
    </row>
    <row r="10310" spans="2:2">
      <c r="B10310" s="3"/>
    </row>
    <row r="10311" spans="2:2">
      <c r="B10311" s="3"/>
    </row>
    <row r="10312" spans="2:2">
      <c r="B10312" s="3"/>
    </row>
    <row r="10313" spans="2:2">
      <c r="B10313" s="3"/>
    </row>
    <row r="10314" spans="2:2">
      <c r="B10314" s="3"/>
    </row>
    <row r="10315" spans="2:2">
      <c r="B10315" s="3"/>
    </row>
    <row r="10316" spans="2:2">
      <c r="B10316" s="3"/>
    </row>
    <row r="10317" spans="2:2">
      <c r="B10317" s="3"/>
    </row>
    <row r="10318" spans="2:2">
      <c r="B10318" s="3"/>
    </row>
    <row r="10319" spans="2:2">
      <c r="B10319" s="3"/>
    </row>
    <row r="10320" spans="2:2">
      <c r="B10320" s="3"/>
    </row>
    <row r="10321" spans="2:2">
      <c r="B10321" s="3"/>
    </row>
    <row r="10322" spans="2:2">
      <c r="B10322" s="3"/>
    </row>
    <row r="10323" spans="2:2">
      <c r="B10323" s="3"/>
    </row>
    <row r="10324" spans="2:2">
      <c r="B10324" s="3"/>
    </row>
    <row r="10325" spans="2:2">
      <c r="B10325" s="3"/>
    </row>
    <row r="10326" spans="2:2">
      <c r="B10326" s="3"/>
    </row>
    <row r="10327" spans="2:2">
      <c r="B10327" s="3"/>
    </row>
    <row r="10328" spans="2:2">
      <c r="B10328" s="3"/>
    </row>
    <row r="10329" spans="2:2">
      <c r="B10329" s="3"/>
    </row>
    <row r="10330" spans="2:2">
      <c r="B10330" s="3"/>
    </row>
    <row r="10331" spans="2:2">
      <c r="B10331" s="3"/>
    </row>
    <row r="10332" spans="2:2">
      <c r="B10332" s="3"/>
    </row>
    <row r="10333" spans="2:2">
      <c r="B10333" s="3"/>
    </row>
    <row r="10334" spans="2:2">
      <c r="B10334" s="3"/>
    </row>
    <row r="10335" spans="2:2">
      <c r="B10335" s="3"/>
    </row>
    <row r="10336" spans="2:2">
      <c r="B10336" s="3"/>
    </row>
    <row r="10337" spans="2:2">
      <c r="B10337" s="3"/>
    </row>
    <row r="10338" spans="2:2">
      <c r="B10338" s="3"/>
    </row>
    <row r="10339" spans="2:2">
      <c r="B10339" s="3"/>
    </row>
    <row r="10340" spans="2:2">
      <c r="B10340" s="3"/>
    </row>
    <row r="10341" spans="2:2">
      <c r="B10341" s="3"/>
    </row>
    <row r="10342" spans="2:2">
      <c r="B10342" s="3"/>
    </row>
    <row r="10343" spans="2:2">
      <c r="B10343" s="3"/>
    </row>
    <row r="10344" spans="2:2">
      <c r="B10344" s="3"/>
    </row>
    <row r="10345" spans="2:2">
      <c r="B10345" s="3"/>
    </row>
    <row r="10346" spans="2:2">
      <c r="B10346" s="3"/>
    </row>
    <row r="10347" spans="2:2">
      <c r="B10347" s="3"/>
    </row>
    <row r="10348" spans="2:2">
      <c r="B10348" s="3"/>
    </row>
    <row r="10349" spans="2:2">
      <c r="B10349" s="3"/>
    </row>
    <row r="10350" spans="2:2">
      <c r="B10350" s="3"/>
    </row>
    <row r="10351" spans="2:2">
      <c r="B10351" s="3"/>
    </row>
    <row r="10352" spans="2:2">
      <c r="B10352" s="3"/>
    </row>
    <row r="10353" spans="2:2">
      <c r="B10353" s="3"/>
    </row>
    <row r="10354" spans="2:2">
      <c r="B10354" s="3"/>
    </row>
    <row r="10355" spans="2:2">
      <c r="B10355" s="3"/>
    </row>
    <row r="10356" spans="2:2">
      <c r="B10356" s="3"/>
    </row>
    <row r="10357" spans="2:2">
      <c r="B10357" s="3"/>
    </row>
    <row r="10358" spans="2:2">
      <c r="B10358" s="3"/>
    </row>
    <row r="10359" spans="2:2">
      <c r="B10359" s="3"/>
    </row>
    <row r="10360" spans="2:2">
      <c r="B10360" s="3"/>
    </row>
    <row r="10361" spans="2:2">
      <c r="B10361" s="3"/>
    </row>
    <row r="10362" spans="2:2">
      <c r="B10362" s="3"/>
    </row>
    <row r="10363" spans="2:2">
      <c r="B10363" s="3"/>
    </row>
    <row r="10364" spans="2:2">
      <c r="B10364" s="3"/>
    </row>
    <row r="10365" spans="2:2">
      <c r="B10365" s="3"/>
    </row>
    <row r="10366" spans="2:2">
      <c r="B10366" s="3"/>
    </row>
    <row r="10367" spans="2:2">
      <c r="B10367" s="3"/>
    </row>
    <row r="10368" spans="2:2">
      <c r="B10368" s="3"/>
    </row>
    <row r="10369" spans="2:2">
      <c r="B10369" s="3"/>
    </row>
    <row r="10370" spans="2:2">
      <c r="B10370" s="3"/>
    </row>
    <row r="10371" spans="2:2">
      <c r="B10371" s="3"/>
    </row>
    <row r="10372" spans="2:2">
      <c r="B10372" s="3"/>
    </row>
    <row r="10373" spans="2:2">
      <c r="B10373" s="3"/>
    </row>
    <row r="10374" spans="2:2">
      <c r="B10374" s="3"/>
    </row>
    <row r="10375" spans="2:2">
      <c r="B10375" s="3"/>
    </row>
    <row r="10376" spans="2:2">
      <c r="B10376" s="3"/>
    </row>
    <row r="10377" spans="2:2">
      <c r="B10377" s="3"/>
    </row>
    <row r="10378" spans="2:2">
      <c r="B10378" s="3"/>
    </row>
    <row r="10379" spans="2:2">
      <c r="B10379" s="3"/>
    </row>
    <row r="10380" spans="2:2">
      <c r="B10380" s="3"/>
    </row>
    <row r="10381" spans="2:2">
      <c r="B10381" s="3"/>
    </row>
    <row r="10382" spans="2:2">
      <c r="B10382" s="3"/>
    </row>
    <row r="10383" spans="2:2">
      <c r="B10383" s="3"/>
    </row>
    <row r="10384" spans="2:2">
      <c r="B10384" s="3"/>
    </row>
    <row r="10385" spans="2:2">
      <c r="B10385" s="3"/>
    </row>
    <row r="10386" spans="2:2">
      <c r="B10386" s="3"/>
    </row>
    <row r="10387" spans="2:2">
      <c r="B10387" s="3"/>
    </row>
    <row r="10388" spans="2:2">
      <c r="B10388" s="3"/>
    </row>
    <row r="10389" spans="2:2">
      <c r="B10389" s="3"/>
    </row>
    <row r="10390" spans="2:2">
      <c r="B10390" s="3"/>
    </row>
    <row r="10391" spans="2:2">
      <c r="B10391" s="3"/>
    </row>
    <row r="10392" spans="2:2">
      <c r="B10392" s="3"/>
    </row>
    <row r="10393" spans="2:2">
      <c r="B10393" s="3"/>
    </row>
    <row r="10394" spans="2:2">
      <c r="B10394" s="3"/>
    </row>
    <row r="10395" spans="2:2">
      <c r="B10395" s="3"/>
    </row>
    <row r="10396" spans="2:2">
      <c r="B10396" s="3"/>
    </row>
    <row r="10397" spans="2:2">
      <c r="B10397" s="3"/>
    </row>
    <row r="10398" spans="2:2">
      <c r="B10398" s="3"/>
    </row>
    <row r="10399" spans="2:2">
      <c r="B10399" s="3"/>
    </row>
    <row r="10400" spans="2:2">
      <c r="B10400" s="3"/>
    </row>
    <row r="10401" spans="2:2">
      <c r="B10401" s="3"/>
    </row>
    <row r="10402" spans="2:2">
      <c r="B10402" s="3"/>
    </row>
    <row r="10403" spans="2:2">
      <c r="B10403" s="3"/>
    </row>
    <row r="10404" spans="2:2">
      <c r="B10404" s="3"/>
    </row>
    <row r="10405" spans="2:2">
      <c r="B10405" s="3"/>
    </row>
    <row r="10406" spans="2:2">
      <c r="B10406" s="3"/>
    </row>
    <row r="10407" spans="2:2">
      <c r="B10407" s="3"/>
    </row>
    <row r="10408" spans="2:2">
      <c r="B10408" s="3"/>
    </row>
    <row r="10409" spans="2:2">
      <c r="B10409" s="3"/>
    </row>
    <row r="10410" spans="2:2">
      <c r="B10410" s="3"/>
    </row>
    <row r="10411" spans="2:2">
      <c r="B10411" s="3"/>
    </row>
    <row r="10412" spans="2:2">
      <c r="B10412" s="3"/>
    </row>
    <row r="10413" spans="2:2">
      <c r="B10413" s="3"/>
    </row>
    <row r="10414" spans="2:2">
      <c r="B10414" s="3"/>
    </row>
    <row r="10415" spans="2:2">
      <c r="B10415" s="3"/>
    </row>
    <row r="10416" spans="2:2">
      <c r="B10416" s="3"/>
    </row>
    <row r="10417" spans="2:2">
      <c r="B10417" s="3"/>
    </row>
    <row r="10418" spans="2:2">
      <c r="B10418" s="3"/>
    </row>
    <row r="10419" spans="2:2">
      <c r="B10419" s="3"/>
    </row>
    <row r="10420" spans="2:2">
      <c r="B10420" s="3"/>
    </row>
    <row r="10421" spans="2:2">
      <c r="B10421" s="3"/>
    </row>
    <row r="10422" spans="2:2">
      <c r="B10422" s="3"/>
    </row>
    <row r="10423" spans="2:2">
      <c r="B10423" s="3"/>
    </row>
    <row r="10424" spans="2:2">
      <c r="B10424" s="3"/>
    </row>
    <row r="10425" spans="2:2">
      <c r="B10425" s="3"/>
    </row>
    <row r="10426" spans="2:2">
      <c r="B10426" s="3"/>
    </row>
    <row r="10427" spans="2:2">
      <c r="B10427" s="3"/>
    </row>
    <row r="10428" spans="2:2">
      <c r="B10428" s="3"/>
    </row>
    <row r="10429" spans="2:2">
      <c r="B10429" s="3"/>
    </row>
    <row r="10430" spans="2:2">
      <c r="B10430" s="3"/>
    </row>
    <row r="10431" spans="2:2">
      <c r="B10431" s="3"/>
    </row>
    <row r="10432" spans="2:2">
      <c r="B10432" s="3"/>
    </row>
    <row r="10433" spans="2:2">
      <c r="B10433" s="3"/>
    </row>
    <row r="10434" spans="2:2">
      <c r="B10434" s="3"/>
    </row>
    <row r="10435" spans="2:2">
      <c r="B10435" s="3"/>
    </row>
    <row r="10436" spans="2:2">
      <c r="B10436" s="3"/>
    </row>
    <row r="10437" spans="2:2">
      <c r="B10437" s="3"/>
    </row>
    <row r="10438" spans="2:2">
      <c r="B10438" s="3"/>
    </row>
    <row r="10439" spans="2:2">
      <c r="B10439" s="3"/>
    </row>
    <row r="10440" spans="2:2">
      <c r="B10440" s="3"/>
    </row>
    <row r="10441" spans="2:2">
      <c r="B10441" s="3"/>
    </row>
    <row r="10442" spans="2:2">
      <c r="B10442" s="3"/>
    </row>
    <row r="10443" spans="2:2">
      <c r="B10443" s="3"/>
    </row>
    <row r="10444" spans="2:2">
      <c r="B10444" s="3"/>
    </row>
    <row r="10445" spans="2:2">
      <c r="B10445" s="3"/>
    </row>
    <row r="10446" spans="2:2">
      <c r="B10446" s="3"/>
    </row>
    <row r="10447" spans="2:2">
      <c r="B10447" s="3"/>
    </row>
    <row r="10448" spans="2:2">
      <c r="B10448" s="3"/>
    </row>
    <row r="10449" spans="2:2">
      <c r="B10449" s="3"/>
    </row>
    <row r="10450" spans="2:2">
      <c r="B10450" s="3"/>
    </row>
    <row r="10451" spans="2:2">
      <c r="B10451" s="3"/>
    </row>
    <row r="10452" spans="2:2">
      <c r="B10452" s="3"/>
    </row>
    <row r="10453" spans="2:2">
      <c r="B10453" s="3"/>
    </row>
    <row r="10454" spans="2:2">
      <c r="B10454" s="3"/>
    </row>
    <row r="10455" spans="2:2">
      <c r="B10455" s="3"/>
    </row>
    <row r="10456" spans="2:2">
      <c r="B10456" s="3"/>
    </row>
    <row r="10457" spans="2:2">
      <c r="B10457" s="3"/>
    </row>
    <row r="10458" spans="2:2">
      <c r="B10458" s="3"/>
    </row>
    <row r="10459" spans="2:2">
      <c r="B10459" s="3"/>
    </row>
    <row r="10460" spans="2:2">
      <c r="B10460" s="3"/>
    </row>
    <row r="10461" spans="2:2">
      <c r="B10461" s="3"/>
    </row>
    <row r="10462" spans="2:2">
      <c r="B10462" s="3"/>
    </row>
    <row r="10463" spans="2:2">
      <c r="B10463" s="3"/>
    </row>
    <row r="10464" spans="2:2">
      <c r="B10464" s="3"/>
    </row>
    <row r="10465" spans="2:2">
      <c r="B10465" s="3"/>
    </row>
    <row r="10466" spans="2:2">
      <c r="B10466" s="3"/>
    </row>
    <row r="10467" spans="2:2">
      <c r="B10467" s="3"/>
    </row>
    <row r="10468" spans="2:2">
      <c r="B10468" s="3"/>
    </row>
    <row r="10469" spans="2:2">
      <c r="B10469" s="3"/>
    </row>
    <row r="10470" spans="2:2">
      <c r="B10470" s="3"/>
    </row>
    <row r="10471" spans="2:2">
      <c r="B10471" s="3"/>
    </row>
    <row r="10472" spans="2:2">
      <c r="B10472" s="3"/>
    </row>
    <row r="10473" spans="2:2">
      <c r="B10473" s="3"/>
    </row>
    <row r="10474" spans="2:2">
      <c r="B10474" s="3"/>
    </row>
    <row r="10475" spans="2:2">
      <c r="B10475" s="3"/>
    </row>
    <row r="10476" spans="2:2">
      <c r="B10476" s="3"/>
    </row>
    <row r="10477" spans="2:2">
      <c r="B10477" s="3"/>
    </row>
    <row r="10478" spans="2:2">
      <c r="B10478" s="3"/>
    </row>
    <row r="10479" spans="2:2">
      <c r="B10479" s="3"/>
    </row>
    <row r="10480" spans="2:2">
      <c r="B10480" s="3"/>
    </row>
    <row r="10481" spans="2:2">
      <c r="B10481" s="3"/>
    </row>
    <row r="10482" spans="2:2">
      <c r="B10482" s="3"/>
    </row>
    <row r="10483" spans="2:2">
      <c r="B10483" s="3"/>
    </row>
    <row r="10484" spans="2:2">
      <c r="B10484" s="3"/>
    </row>
    <row r="10485" spans="2:2">
      <c r="B10485" s="3"/>
    </row>
    <row r="10486" spans="2:2">
      <c r="B10486" s="3"/>
    </row>
    <row r="10487" spans="2:2">
      <c r="B10487" s="3"/>
    </row>
    <row r="10488" spans="2:2">
      <c r="B10488" s="3"/>
    </row>
    <row r="10489" spans="2:2">
      <c r="B10489" s="3"/>
    </row>
    <row r="10490" spans="2:2">
      <c r="B10490" s="3"/>
    </row>
    <row r="10491" spans="2:2">
      <c r="B10491" s="3"/>
    </row>
    <row r="10492" spans="2:2">
      <c r="B10492" s="3"/>
    </row>
    <row r="10493" spans="2:2">
      <c r="B10493" s="3"/>
    </row>
    <row r="10494" spans="2:2">
      <c r="B10494" s="3"/>
    </row>
    <row r="10495" spans="2:2">
      <c r="B10495" s="3"/>
    </row>
    <row r="10496" spans="2:2">
      <c r="B10496" s="3"/>
    </row>
    <row r="10497" spans="2:2">
      <c r="B10497" s="3"/>
    </row>
    <row r="10498" spans="2:2">
      <c r="B10498" s="3"/>
    </row>
    <row r="10499" spans="2:2">
      <c r="B10499" s="3"/>
    </row>
    <row r="10500" spans="2:2">
      <c r="B10500" s="3"/>
    </row>
    <row r="10501" spans="2:2">
      <c r="B10501" s="3"/>
    </row>
    <row r="10502" spans="2:2">
      <c r="B10502" s="3"/>
    </row>
    <row r="10503" spans="2:2">
      <c r="B10503" s="3"/>
    </row>
    <row r="10504" spans="2:2">
      <c r="B10504" s="3"/>
    </row>
    <row r="10505" spans="2:2">
      <c r="B10505" s="3"/>
    </row>
    <row r="10506" spans="2:2">
      <c r="B10506" s="3"/>
    </row>
    <row r="10507" spans="2:2">
      <c r="B10507" s="3"/>
    </row>
    <row r="10508" spans="2:2">
      <c r="B10508" s="3"/>
    </row>
    <row r="10509" spans="2:2">
      <c r="B10509" s="3"/>
    </row>
    <row r="10510" spans="2:2">
      <c r="B10510" s="3"/>
    </row>
    <row r="10511" spans="2:2">
      <c r="B10511" s="3"/>
    </row>
    <row r="10512" spans="2:2">
      <c r="B10512" s="3"/>
    </row>
    <row r="10513" spans="2:2">
      <c r="B10513" s="3"/>
    </row>
    <row r="10514" spans="2:2">
      <c r="B10514" s="3"/>
    </row>
    <row r="10515" spans="2:2">
      <c r="B10515" s="3"/>
    </row>
    <row r="10516" spans="2:2">
      <c r="B10516" s="3"/>
    </row>
    <row r="10517" spans="2:2">
      <c r="B10517" s="3"/>
    </row>
    <row r="10518" spans="2:2">
      <c r="B10518" s="3"/>
    </row>
    <row r="10519" spans="2:2">
      <c r="B10519" s="3"/>
    </row>
    <row r="10520" spans="2:2">
      <c r="B10520" s="3"/>
    </row>
    <row r="10521" spans="2:2">
      <c r="B10521" s="3"/>
    </row>
    <row r="10522" spans="2:2">
      <c r="B10522" s="3"/>
    </row>
    <row r="10523" spans="2:2">
      <c r="B10523" s="3"/>
    </row>
    <row r="10524" spans="2:2">
      <c r="B10524" s="3"/>
    </row>
    <row r="10525" spans="2:2">
      <c r="B10525" s="3"/>
    </row>
    <row r="10526" spans="2:2">
      <c r="B10526" s="3"/>
    </row>
    <row r="10527" spans="2:2">
      <c r="B10527" s="3"/>
    </row>
    <row r="10528" spans="2:2">
      <c r="B10528" s="3"/>
    </row>
    <row r="10529" spans="2:2">
      <c r="B10529" s="3"/>
    </row>
    <row r="10530" spans="2:2">
      <c r="B10530" s="3"/>
    </row>
    <row r="10531" spans="2:2">
      <c r="B10531" s="3"/>
    </row>
    <row r="10532" spans="2:2">
      <c r="B10532" s="3"/>
    </row>
    <row r="10533" spans="2:2">
      <c r="B10533" s="3"/>
    </row>
    <row r="10534" spans="2:2">
      <c r="B10534" s="3"/>
    </row>
    <row r="10535" spans="2:2">
      <c r="B10535" s="3"/>
    </row>
    <row r="10536" spans="2:2">
      <c r="B10536" s="3"/>
    </row>
    <row r="10537" spans="2:2">
      <c r="B10537" s="3"/>
    </row>
    <row r="10538" spans="2:2">
      <c r="B10538" s="3"/>
    </row>
    <row r="10539" spans="2:2">
      <c r="B10539" s="3"/>
    </row>
    <row r="10540" spans="2:2">
      <c r="B10540" s="3"/>
    </row>
    <row r="10541" spans="2:2">
      <c r="B10541" s="3"/>
    </row>
    <row r="10542" spans="2:2">
      <c r="B10542" s="3"/>
    </row>
    <row r="10543" spans="2:2">
      <c r="B10543" s="3"/>
    </row>
    <row r="10544" spans="2:2">
      <c r="B10544" s="3"/>
    </row>
    <row r="10545" spans="2:2">
      <c r="B10545" s="3"/>
    </row>
    <row r="10546" spans="2:2">
      <c r="B10546" s="3"/>
    </row>
    <row r="10547" spans="2:2">
      <c r="B10547" s="3"/>
    </row>
    <row r="10548" spans="2:2">
      <c r="B10548" s="3"/>
    </row>
    <row r="10549" spans="2:2">
      <c r="B10549" s="3"/>
    </row>
    <row r="10550" spans="2:2">
      <c r="B10550" s="3"/>
    </row>
    <row r="10551" spans="2:2">
      <c r="B10551" s="3"/>
    </row>
    <row r="10552" spans="2:2">
      <c r="B10552" s="3"/>
    </row>
    <row r="10553" spans="2:2">
      <c r="B10553" s="3"/>
    </row>
    <row r="10554" spans="2:2">
      <c r="B10554" s="3"/>
    </row>
    <row r="10555" spans="2:2">
      <c r="B10555" s="3"/>
    </row>
    <row r="10556" spans="2:2">
      <c r="B10556" s="3"/>
    </row>
    <row r="10557" spans="2:2">
      <c r="B10557" s="3"/>
    </row>
    <row r="10558" spans="2:2">
      <c r="B10558" s="3"/>
    </row>
    <row r="10559" spans="2:2">
      <c r="B10559" s="3"/>
    </row>
    <row r="10560" spans="2:2">
      <c r="B10560" s="3"/>
    </row>
    <row r="10561" spans="2:2">
      <c r="B10561" s="3"/>
    </row>
    <row r="10562" spans="2:2">
      <c r="B10562" s="3"/>
    </row>
    <row r="10563" spans="2:2">
      <c r="B10563" s="3"/>
    </row>
    <row r="10564" spans="2:2">
      <c r="B10564" s="3"/>
    </row>
    <row r="10565" spans="2:2">
      <c r="B10565" s="3"/>
    </row>
    <row r="10566" spans="2:2">
      <c r="B10566" s="3"/>
    </row>
    <row r="10567" spans="2:2">
      <c r="B10567" s="3"/>
    </row>
    <row r="10568" spans="2:2">
      <c r="B10568" s="3"/>
    </row>
    <row r="10569" spans="2:2">
      <c r="B10569" s="3"/>
    </row>
    <row r="10570" spans="2:2">
      <c r="B10570" s="3"/>
    </row>
    <row r="10571" spans="2:2">
      <c r="B10571" s="3"/>
    </row>
    <row r="10572" spans="2:2">
      <c r="B10572" s="3"/>
    </row>
    <row r="10573" spans="2:2">
      <c r="B10573" s="3"/>
    </row>
    <row r="10574" spans="2:2">
      <c r="B10574" s="3"/>
    </row>
    <row r="10575" spans="2:2">
      <c r="B10575" s="3"/>
    </row>
    <row r="10576" spans="2:2">
      <c r="B10576" s="3"/>
    </row>
    <row r="10577" spans="2:2">
      <c r="B10577" s="3"/>
    </row>
    <row r="10578" spans="2:2">
      <c r="B10578" s="3"/>
    </row>
    <row r="10579" spans="2:2">
      <c r="B10579" s="3"/>
    </row>
    <row r="10580" spans="2:2">
      <c r="B10580" s="3"/>
    </row>
    <row r="10581" spans="2:2">
      <c r="B10581" s="3"/>
    </row>
    <row r="10582" spans="2:2">
      <c r="B10582" s="3"/>
    </row>
    <row r="10583" spans="2:2">
      <c r="B10583" s="3"/>
    </row>
    <row r="10584" spans="2:2">
      <c r="B10584" s="3"/>
    </row>
    <row r="10585" spans="2:2">
      <c r="B10585" s="3"/>
    </row>
    <row r="10586" spans="2:2">
      <c r="B10586" s="3"/>
    </row>
    <row r="10587" spans="2:2">
      <c r="B10587" s="3"/>
    </row>
    <row r="10588" spans="2:2">
      <c r="B10588" s="3"/>
    </row>
    <row r="10589" spans="2:2">
      <c r="B10589" s="3"/>
    </row>
    <row r="10590" spans="2:2">
      <c r="B10590" s="3"/>
    </row>
    <row r="10591" spans="2:2">
      <c r="B10591" s="3"/>
    </row>
    <row r="10592" spans="2:2">
      <c r="B10592" s="3"/>
    </row>
    <row r="10593" spans="2:2">
      <c r="B10593" s="3"/>
    </row>
    <row r="10594" spans="2:2">
      <c r="B10594" s="3"/>
    </row>
    <row r="10595" spans="2:2">
      <c r="B10595" s="3"/>
    </row>
    <row r="10596" spans="2:2">
      <c r="B10596" s="3"/>
    </row>
    <row r="10597" spans="2:2">
      <c r="B10597" s="3"/>
    </row>
    <row r="10598" spans="2:2">
      <c r="B10598" s="3"/>
    </row>
    <row r="10599" spans="2:2">
      <c r="B10599" s="3"/>
    </row>
    <row r="10600" spans="2:2">
      <c r="B10600" s="3"/>
    </row>
    <row r="10601" spans="2:2">
      <c r="B10601" s="3"/>
    </row>
    <row r="10602" spans="2:2">
      <c r="B10602" s="3"/>
    </row>
    <row r="10603" spans="2:2">
      <c r="B10603" s="3"/>
    </row>
    <row r="10604" spans="2:2">
      <c r="B10604" s="3"/>
    </row>
    <row r="10605" spans="2:2">
      <c r="B10605" s="3"/>
    </row>
    <row r="10606" spans="2:2">
      <c r="B10606" s="3"/>
    </row>
    <row r="10607" spans="2:2">
      <c r="B10607" s="3"/>
    </row>
    <row r="10608" spans="2:2">
      <c r="B10608" s="3"/>
    </row>
    <row r="10609" spans="2:2">
      <c r="B10609" s="3"/>
    </row>
    <row r="10610" spans="2:2">
      <c r="B10610" s="3"/>
    </row>
    <row r="10611" spans="2:2">
      <c r="B10611" s="3"/>
    </row>
    <row r="10612" spans="2:2">
      <c r="B10612" s="3"/>
    </row>
    <row r="10613" spans="2:2">
      <c r="B10613" s="3"/>
    </row>
    <row r="10614" spans="2:2">
      <c r="B10614" s="3"/>
    </row>
    <row r="10615" spans="2:2">
      <c r="B10615" s="3"/>
    </row>
    <row r="10616" spans="2:2">
      <c r="B10616" s="3"/>
    </row>
    <row r="10617" spans="2:2">
      <c r="B10617" s="3"/>
    </row>
    <row r="10618" spans="2:2">
      <c r="B10618" s="3"/>
    </row>
    <row r="10619" spans="2:2">
      <c r="B10619" s="3"/>
    </row>
    <row r="10620" spans="2:2">
      <c r="B10620" s="3"/>
    </row>
    <row r="10621" spans="2:2">
      <c r="B10621" s="3"/>
    </row>
    <row r="10622" spans="2:2">
      <c r="B10622" s="3"/>
    </row>
    <row r="10623" spans="2:2">
      <c r="B10623" s="3"/>
    </row>
    <row r="10624" spans="2:2">
      <c r="B10624" s="3"/>
    </row>
    <row r="10625" spans="2:2">
      <c r="B10625" s="3"/>
    </row>
    <row r="10626" spans="2:2">
      <c r="B10626" s="3"/>
    </row>
    <row r="10627" spans="2:2">
      <c r="B10627" s="3"/>
    </row>
    <row r="10628" spans="2:2">
      <c r="B10628" s="3"/>
    </row>
    <row r="10629" spans="2:2">
      <c r="B10629" s="3"/>
    </row>
    <row r="10630" spans="2:2">
      <c r="B10630" s="3"/>
    </row>
    <row r="10631" spans="2:2">
      <c r="B10631" s="3"/>
    </row>
    <row r="10632" spans="2:2">
      <c r="B10632" s="3"/>
    </row>
    <row r="10633" spans="2:2">
      <c r="B10633" s="3"/>
    </row>
    <row r="10634" spans="2:2">
      <c r="B10634" s="3"/>
    </row>
    <row r="10635" spans="2:2">
      <c r="B10635" s="3"/>
    </row>
    <row r="10636" spans="2:2">
      <c r="B10636" s="3"/>
    </row>
    <row r="10637" spans="2:2">
      <c r="B10637" s="3"/>
    </row>
    <row r="10638" spans="2:2">
      <c r="B10638" s="3"/>
    </row>
    <row r="10639" spans="2:2">
      <c r="B10639" s="3"/>
    </row>
    <row r="10640" spans="2:2">
      <c r="B10640" s="3"/>
    </row>
    <row r="10641" spans="2:2">
      <c r="B10641" s="3"/>
    </row>
    <row r="10642" spans="2:2">
      <c r="B10642" s="3"/>
    </row>
    <row r="10643" spans="2:2">
      <c r="B10643" s="3"/>
    </row>
    <row r="10644" spans="2:2">
      <c r="B10644" s="3"/>
    </row>
    <row r="10645" spans="2:2">
      <c r="B10645" s="3"/>
    </row>
    <row r="10646" spans="2:2">
      <c r="B10646" s="3"/>
    </row>
    <row r="10647" spans="2:2">
      <c r="B10647" s="3"/>
    </row>
    <row r="10648" spans="2:2">
      <c r="B10648" s="3"/>
    </row>
    <row r="10649" spans="2:2">
      <c r="B10649" s="3"/>
    </row>
    <row r="10650" spans="2:2">
      <c r="B10650" s="3"/>
    </row>
    <row r="10651" spans="2:2">
      <c r="B10651" s="3"/>
    </row>
    <row r="10652" spans="2:2">
      <c r="B10652" s="3"/>
    </row>
    <row r="10653" spans="2:2">
      <c r="B10653" s="3"/>
    </row>
    <row r="10654" spans="2:2">
      <c r="B10654" s="3"/>
    </row>
    <row r="10655" spans="2:2">
      <c r="B10655" s="3"/>
    </row>
    <row r="10656" spans="2:2">
      <c r="B10656" s="3"/>
    </row>
    <row r="10657" spans="2:2">
      <c r="B10657" s="3"/>
    </row>
    <row r="10658" spans="2:2">
      <c r="B10658" s="3"/>
    </row>
    <row r="10659" spans="2:2">
      <c r="B10659" s="3"/>
    </row>
    <row r="10660" spans="2:2">
      <c r="B10660" s="3"/>
    </row>
    <row r="10661" spans="2:2">
      <c r="B10661" s="3"/>
    </row>
    <row r="10662" spans="2:2">
      <c r="B10662" s="3"/>
    </row>
    <row r="10663" spans="2:2">
      <c r="B10663" s="3"/>
    </row>
    <row r="10664" spans="2:2">
      <c r="B10664" s="3"/>
    </row>
    <row r="10665" spans="2:2">
      <c r="B10665" s="3"/>
    </row>
    <row r="10666" spans="2:2">
      <c r="B10666" s="3"/>
    </row>
    <row r="10667" spans="2:2">
      <c r="B10667" s="3"/>
    </row>
    <row r="10668" spans="2:2">
      <c r="B10668" s="3"/>
    </row>
    <row r="10669" spans="2:2">
      <c r="B10669" s="3"/>
    </row>
    <row r="10670" spans="2:2">
      <c r="B10670" s="3"/>
    </row>
    <row r="10671" spans="2:2">
      <c r="B10671" s="3"/>
    </row>
    <row r="10672" spans="2:2">
      <c r="B10672" s="3"/>
    </row>
    <row r="10673" spans="2:2">
      <c r="B10673" s="3"/>
    </row>
    <row r="10674" spans="2:2">
      <c r="B10674" s="3"/>
    </row>
    <row r="10675" spans="2:2">
      <c r="B10675" s="3"/>
    </row>
    <row r="10676" spans="2:2">
      <c r="B10676" s="3"/>
    </row>
    <row r="10677" spans="2:2">
      <c r="B10677" s="3"/>
    </row>
    <row r="10678" spans="2:2">
      <c r="B10678" s="3"/>
    </row>
    <row r="10679" spans="2:2">
      <c r="B10679" s="3"/>
    </row>
    <row r="10680" spans="2:2">
      <c r="B10680" s="3"/>
    </row>
    <row r="10681" spans="2:2">
      <c r="B10681" s="3"/>
    </row>
    <row r="10682" spans="2:2">
      <c r="B10682" s="3"/>
    </row>
    <row r="10683" spans="2:2">
      <c r="B10683" s="3"/>
    </row>
    <row r="10684" spans="2:2">
      <c r="B10684" s="3"/>
    </row>
    <row r="10685" spans="2:2">
      <c r="B10685" s="3"/>
    </row>
    <row r="10686" spans="2:2">
      <c r="B10686" s="3"/>
    </row>
    <row r="10687" spans="2:2">
      <c r="B10687" s="3"/>
    </row>
    <row r="10688" spans="2:2">
      <c r="B10688" s="3"/>
    </row>
    <row r="10689" spans="2:2">
      <c r="B10689" s="3"/>
    </row>
    <row r="10690" spans="2:2">
      <c r="B10690" s="3"/>
    </row>
    <row r="10691" spans="2:2">
      <c r="B10691" s="3"/>
    </row>
    <row r="10692" spans="2:2">
      <c r="B10692" s="3"/>
    </row>
    <row r="10693" spans="2:2">
      <c r="B10693" s="3"/>
    </row>
    <row r="10694" spans="2:2">
      <c r="B10694" s="3"/>
    </row>
    <row r="10695" spans="2:2">
      <c r="B10695" s="3"/>
    </row>
    <row r="10696" spans="2:2">
      <c r="B10696" s="3"/>
    </row>
    <row r="10697" spans="2:2">
      <c r="B10697" s="3"/>
    </row>
    <row r="10698" spans="2:2">
      <c r="B10698" s="3"/>
    </row>
    <row r="10699" spans="2:2">
      <c r="B10699" s="3"/>
    </row>
    <row r="10700" spans="2:2">
      <c r="B10700" s="3"/>
    </row>
    <row r="10701" spans="2:2">
      <c r="B10701" s="3"/>
    </row>
    <row r="10702" spans="2:2">
      <c r="B10702" s="3"/>
    </row>
    <row r="10703" spans="2:2">
      <c r="B10703" s="3"/>
    </row>
    <row r="10704" spans="2:2">
      <c r="B10704" s="3"/>
    </row>
    <row r="10705" spans="2:2">
      <c r="B10705" s="3"/>
    </row>
    <row r="10706" spans="2:2">
      <c r="B10706" s="3"/>
    </row>
    <row r="10707" spans="2:2">
      <c r="B10707" s="3"/>
    </row>
    <row r="10708" spans="2:2">
      <c r="B10708" s="3"/>
    </row>
    <row r="10709" spans="2:2">
      <c r="B10709" s="3"/>
    </row>
    <row r="10710" spans="2:2">
      <c r="B10710" s="3"/>
    </row>
    <row r="10711" spans="2:2">
      <c r="B10711" s="3"/>
    </row>
    <row r="10712" spans="2:2">
      <c r="B10712" s="3"/>
    </row>
    <row r="10713" spans="2:2">
      <c r="B10713" s="3"/>
    </row>
    <row r="10714" spans="2:2">
      <c r="B10714" s="3"/>
    </row>
    <row r="10715" spans="2:2">
      <c r="B10715" s="3"/>
    </row>
    <row r="10716" spans="2:2">
      <c r="B10716" s="3"/>
    </row>
    <row r="10717" spans="2:2">
      <c r="B10717" s="3"/>
    </row>
    <row r="10718" spans="2:2">
      <c r="B10718" s="3"/>
    </row>
    <row r="10719" spans="2:2">
      <c r="B10719" s="3"/>
    </row>
    <row r="10720" spans="2:2">
      <c r="B10720" s="3"/>
    </row>
    <row r="10721" spans="2:2">
      <c r="B10721" s="3"/>
    </row>
    <row r="10722" spans="2:2">
      <c r="B10722" s="3"/>
    </row>
    <row r="10723" spans="2:2">
      <c r="B10723" s="3"/>
    </row>
    <row r="10724" spans="2:2">
      <c r="B10724" s="3"/>
    </row>
    <row r="10725" spans="2:2">
      <c r="B10725" s="3"/>
    </row>
    <row r="10726" spans="2:2">
      <c r="B10726" s="3"/>
    </row>
    <row r="10727" spans="2:2">
      <c r="B10727" s="3"/>
    </row>
    <row r="10728" spans="2:2">
      <c r="B10728" s="3"/>
    </row>
    <row r="10729" spans="2:2">
      <c r="B10729" s="3"/>
    </row>
    <row r="10730" spans="2:2">
      <c r="B10730" s="3"/>
    </row>
    <row r="10731" spans="2:2">
      <c r="B10731" s="3"/>
    </row>
    <row r="10732" spans="2:2">
      <c r="B10732" s="3"/>
    </row>
    <row r="10733" spans="2:2">
      <c r="B10733" s="3"/>
    </row>
    <row r="10734" spans="2:2">
      <c r="B10734" s="3"/>
    </row>
    <row r="10735" spans="2:2">
      <c r="B10735" s="3"/>
    </row>
    <row r="10736" spans="2:2">
      <c r="B10736" s="3"/>
    </row>
    <row r="10737" spans="2:2">
      <c r="B10737" s="3"/>
    </row>
    <row r="10738" spans="2:2">
      <c r="B10738" s="3"/>
    </row>
    <row r="10739" spans="2:2">
      <c r="B10739" s="3"/>
    </row>
    <row r="10740" spans="2:2">
      <c r="B10740" s="3"/>
    </row>
    <row r="10741" spans="2:2">
      <c r="B10741" s="3"/>
    </row>
    <row r="10742" spans="2:2">
      <c r="B10742" s="3"/>
    </row>
    <row r="10743" spans="2:2">
      <c r="B10743" s="3"/>
    </row>
    <row r="10744" spans="2:2">
      <c r="B10744" s="3"/>
    </row>
    <row r="10745" spans="2:2">
      <c r="B10745" s="3"/>
    </row>
    <row r="10746" spans="2:2">
      <c r="B10746" s="3"/>
    </row>
    <row r="10747" spans="2:2">
      <c r="B10747" s="3"/>
    </row>
    <row r="10748" spans="2:2">
      <c r="B10748" s="3"/>
    </row>
    <row r="10749" spans="2:2">
      <c r="B10749" s="3"/>
    </row>
    <row r="10750" spans="2:2">
      <c r="B10750" s="3"/>
    </row>
    <row r="10751" spans="2:2">
      <c r="B10751" s="3"/>
    </row>
    <row r="10752" spans="2:2">
      <c r="B10752" s="3"/>
    </row>
    <row r="10753" spans="2:2">
      <c r="B10753" s="3"/>
    </row>
    <row r="10754" spans="2:2">
      <c r="B10754" s="3"/>
    </row>
    <row r="10755" spans="2:2">
      <c r="B10755" s="3"/>
    </row>
    <row r="10756" spans="2:2">
      <c r="B10756" s="3"/>
    </row>
    <row r="10757" spans="2:2">
      <c r="B10757" s="3"/>
    </row>
    <row r="10758" spans="2:2">
      <c r="B10758" s="3"/>
    </row>
    <row r="10759" spans="2:2">
      <c r="B10759" s="3"/>
    </row>
    <row r="10760" spans="2:2">
      <c r="B10760" s="3"/>
    </row>
    <row r="10761" spans="2:2">
      <c r="B10761" s="3"/>
    </row>
    <row r="10762" spans="2:2">
      <c r="B10762" s="3"/>
    </row>
    <row r="10763" spans="2:2">
      <c r="B10763" s="3"/>
    </row>
    <row r="10764" spans="2:2">
      <c r="B10764" s="3"/>
    </row>
    <row r="10765" spans="2:2">
      <c r="B10765" s="3"/>
    </row>
    <row r="10766" spans="2:2">
      <c r="B10766" s="3"/>
    </row>
    <row r="10767" spans="2:2">
      <c r="B10767" s="3"/>
    </row>
    <row r="10768" spans="2:2">
      <c r="B10768" s="3"/>
    </row>
    <row r="10769" spans="2:2">
      <c r="B10769" s="3"/>
    </row>
    <row r="10770" spans="2:2">
      <c r="B10770" s="3"/>
    </row>
    <row r="10771" spans="2:2">
      <c r="B10771" s="3"/>
    </row>
    <row r="10772" spans="2:2">
      <c r="B10772" s="3"/>
    </row>
    <row r="10773" spans="2:2">
      <c r="B10773" s="3"/>
    </row>
    <row r="10774" spans="2:2">
      <c r="B10774" s="3"/>
    </row>
    <row r="10775" spans="2:2">
      <c r="B10775" s="3"/>
    </row>
    <row r="10776" spans="2:2">
      <c r="B10776" s="3"/>
    </row>
    <row r="10777" spans="2:2">
      <c r="B10777" s="3"/>
    </row>
    <row r="10778" spans="2:2">
      <c r="B10778" s="3"/>
    </row>
    <row r="10779" spans="2:2">
      <c r="B10779" s="3"/>
    </row>
    <row r="10780" spans="2:2">
      <c r="B10780" s="3"/>
    </row>
    <row r="10781" spans="2:2">
      <c r="B10781" s="3"/>
    </row>
    <row r="10782" spans="2:2">
      <c r="B10782" s="3"/>
    </row>
    <row r="10783" spans="2:2">
      <c r="B10783" s="3"/>
    </row>
    <row r="10784" spans="2:2">
      <c r="B10784" s="3"/>
    </row>
    <row r="10785" spans="2:2">
      <c r="B10785" s="3"/>
    </row>
    <row r="10786" spans="2:2">
      <c r="B10786" s="3"/>
    </row>
    <row r="10787" spans="2:2">
      <c r="B10787" s="3"/>
    </row>
    <row r="10788" spans="2:2">
      <c r="B10788" s="3"/>
    </row>
    <row r="10789" spans="2:2">
      <c r="B10789" s="3"/>
    </row>
    <row r="10790" spans="2:2">
      <c r="B10790" s="3"/>
    </row>
    <row r="10791" spans="2:2">
      <c r="B10791" s="3"/>
    </row>
    <row r="10792" spans="2:2">
      <c r="B10792" s="3"/>
    </row>
    <row r="10793" spans="2:2">
      <c r="B10793" s="3"/>
    </row>
    <row r="10794" spans="2:2">
      <c r="B10794" s="3"/>
    </row>
    <row r="10795" spans="2:2">
      <c r="B10795" s="3"/>
    </row>
    <row r="10796" spans="2:2">
      <c r="B10796" s="3"/>
    </row>
    <row r="10797" spans="2:2">
      <c r="B10797" s="3"/>
    </row>
    <row r="10798" spans="2:2">
      <c r="B10798" s="3"/>
    </row>
    <row r="10799" spans="2:2">
      <c r="B10799" s="3"/>
    </row>
    <row r="10800" spans="2:2">
      <c r="B10800" s="3"/>
    </row>
    <row r="10801" spans="2:2">
      <c r="B10801" s="3"/>
    </row>
    <row r="10802" spans="2:2">
      <c r="B10802" s="3"/>
    </row>
    <row r="10803" spans="2:2">
      <c r="B10803" s="3"/>
    </row>
    <row r="10804" spans="2:2">
      <c r="B10804" s="3"/>
    </row>
    <row r="10805" spans="2:2">
      <c r="B10805" s="3"/>
    </row>
    <row r="10806" spans="2:2">
      <c r="B10806" s="3"/>
    </row>
    <row r="10807" spans="2:2">
      <c r="B10807" s="3"/>
    </row>
    <row r="10808" spans="2:2">
      <c r="B10808" s="3"/>
    </row>
    <row r="10809" spans="2:2">
      <c r="B10809" s="3"/>
    </row>
    <row r="10810" spans="2:2">
      <c r="B10810" s="3"/>
    </row>
    <row r="10811" spans="2:2">
      <c r="B10811" s="3"/>
    </row>
    <row r="10812" spans="2:2">
      <c r="B10812" s="3"/>
    </row>
    <row r="10813" spans="2:2">
      <c r="B10813" s="3"/>
    </row>
    <row r="10814" spans="2:2">
      <c r="B10814" s="3"/>
    </row>
    <row r="10815" spans="2:2">
      <c r="B10815" s="3"/>
    </row>
    <row r="10816" spans="2:2">
      <c r="B10816" s="3"/>
    </row>
    <row r="10817" spans="2:2">
      <c r="B10817" s="3"/>
    </row>
    <row r="10818" spans="2:2">
      <c r="B10818" s="3"/>
    </row>
    <row r="10819" spans="2:2">
      <c r="B10819" s="3"/>
    </row>
    <row r="10820" spans="2:2">
      <c r="B10820" s="3"/>
    </row>
    <row r="10821" spans="2:2">
      <c r="B10821" s="3"/>
    </row>
    <row r="10822" spans="2:2">
      <c r="B10822" s="3"/>
    </row>
    <row r="10823" spans="2:2">
      <c r="B10823" s="3"/>
    </row>
    <row r="10824" spans="2:2">
      <c r="B10824" s="3"/>
    </row>
    <row r="10825" spans="2:2">
      <c r="B10825" s="3"/>
    </row>
    <row r="10826" spans="2:2">
      <c r="B10826" s="3"/>
    </row>
    <row r="10827" spans="2:2">
      <c r="B10827" s="3"/>
    </row>
    <row r="10828" spans="2:2">
      <c r="B10828" s="3"/>
    </row>
    <row r="10829" spans="2:2">
      <c r="B10829" s="3"/>
    </row>
    <row r="10830" spans="2:2">
      <c r="B10830" s="3"/>
    </row>
    <row r="10831" spans="2:2">
      <c r="B10831" s="3"/>
    </row>
    <row r="10832" spans="2:2">
      <c r="B10832" s="3"/>
    </row>
    <row r="10833" spans="2:2">
      <c r="B10833" s="3"/>
    </row>
    <row r="10834" spans="2:2">
      <c r="B10834" s="3"/>
    </row>
    <row r="10835" spans="2:2">
      <c r="B10835" s="3"/>
    </row>
    <row r="10836" spans="2:2">
      <c r="B10836" s="3"/>
    </row>
    <row r="10837" spans="2:2">
      <c r="B10837" s="3"/>
    </row>
    <row r="10838" spans="2:2">
      <c r="B10838" s="3"/>
    </row>
    <row r="10839" spans="2:2">
      <c r="B10839" s="3"/>
    </row>
    <row r="10840" spans="2:2">
      <c r="B10840" s="3"/>
    </row>
    <row r="10841" spans="2:2">
      <c r="B10841" s="3"/>
    </row>
    <row r="10842" spans="2:2">
      <c r="B10842" s="3"/>
    </row>
    <row r="10843" spans="2:2">
      <c r="B10843" s="3"/>
    </row>
    <row r="10844" spans="2:2">
      <c r="B10844" s="3"/>
    </row>
    <row r="10845" spans="2:2">
      <c r="B10845" s="3"/>
    </row>
    <row r="10846" spans="2:2">
      <c r="B10846" s="3"/>
    </row>
    <row r="10847" spans="2:2">
      <c r="B10847" s="3"/>
    </row>
    <row r="10848" spans="2:2">
      <c r="B10848" s="3"/>
    </row>
    <row r="10849" spans="2:2">
      <c r="B10849" s="3"/>
    </row>
    <row r="10850" spans="2:2">
      <c r="B10850" s="3"/>
    </row>
    <row r="10851" spans="2:2">
      <c r="B10851" s="3"/>
    </row>
    <row r="10852" spans="2:2">
      <c r="B10852" s="3"/>
    </row>
    <row r="10853" spans="2:2">
      <c r="B10853" s="3"/>
    </row>
    <row r="10854" spans="2:2">
      <c r="B10854" s="3"/>
    </row>
    <row r="10855" spans="2:2">
      <c r="B10855" s="3"/>
    </row>
    <row r="10856" spans="2:2">
      <c r="B10856" s="3"/>
    </row>
    <row r="10857" spans="2:2">
      <c r="B10857" s="3"/>
    </row>
    <row r="10858" spans="2:2">
      <c r="B10858" s="3"/>
    </row>
    <row r="10859" spans="2:2">
      <c r="B10859" s="3"/>
    </row>
    <row r="10860" spans="2:2">
      <c r="B10860" s="3"/>
    </row>
    <row r="10861" spans="2:2">
      <c r="B10861" s="3"/>
    </row>
    <row r="10862" spans="2:2">
      <c r="B10862" s="3"/>
    </row>
    <row r="10863" spans="2:2">
      <c r="B10863" s="3"/>
    </row>
    <row r="10864" spans="2:2">
      <c r="B10864" s="3"/>
    </row>
    <row r="10865" spans="2:2">
      <c r="B10865" s="3"/>
    </row>
    <row r="10866" spans="2:2">
      <c r="B10866" s="3"/>
    </row>
    <row r="10867" spans="2:2">
      <c r="B10867" s="3"/>
    </row>
    <row r="10868" spans="2:2">
      <c r="B10868" s="3"/>
    </row>
    <row r="10869" spans="2:2">
      <c r="B10869" s="3"/>
    </row>
    <row r="10870" spans="2:2">
      <c r="B10870" s="3"/>
    </row>
    <row r="10871" spans="2:2">
      <c r="B10871" s="3"/>
    </row>
    <row r="10872" spans="2:2">
      <c r="B10872" s="3"/>
    </row>
    <row r="10873" spans="2:2">
      <c r="B10873" s="3"/>
    </row>
    <row r="10874" spans="2:2">
      <c r="B10874" s="3"/>
    </row>
    <row r="10875" spans="2:2">
      <c r="B10875" s="3"/>
    </row>
    <row r="10876" spans="2:2">
      <c r="B10876" s="3"/>
    </row>
    <row r="10877" spans="2:2">
      <c r="B10877" s="3"/>
    </row>
    <row r="10878" spans="2:2">
      <c r="B10878" s="3"/>
    </row>
    <row r="10879" spans="2:2">
      <c r="B10879" s="3"/>
    </row>
    <row r="10880" spans="2:2">
      <c r="B10880" s="3"/>
    </row>
    <row r="10881" spans="2:2">
      <c r="B10881" s="3"/>
    </row>
    <row r="10882" spans="2:2">
      <c r="B10882" s="3"/>
    </row>
    <row r="10883" spans="2:2">
      <c r="B10883" s="3"/>
    </row>
    <row r="10884" spans="2:2">
      <c r="B10884" s="3"/>
    </row>
    <row r="10885" spans="2:2">
      <c r="B10885" s="3"/>
    </row>
    <row r="10886" spans="2:2">
      <c r="B10886" s="3"/>
    </row>
    <row r="10887" spans="2:2">
      <c r="B10887" s="3"/>
    </row>
    <row r="10888" spans="2:2">
      <c r="B10888" s="3"/>
    </row>
    <row r="10889" spans="2:2">
      <c r="B10889" s="3"/>
    </row>
    <row r="10890" spans="2:2">
      <c r="B10890" s="3"/>
    </row>
    <row r="10891" spans="2:2">
      <c r="B10891" s="3"/>
    </row>
    <row r="10892" spans="2:2">
      <c r="B10892" s="3"/>
    </row>
    <row r="10893" spans="2:2">
      <c r="B10893" s="3"/>
    </row>
    <row r="10894" spans="2:2">
      <c r="B10894" s="3"/>
    </row>
    <row r="10895" spans="2:2">
      <c r="B10895" s="3"/>
    </row>
    <row r="10896" spans="2:2">
      <c r="B10896" s="3"/>
    </row>
    <row r="10897" spans="2:2">
      <c r="B10897" s="3"/>
    </row>
    <row r="10898" spans="2:2">
      <c r="B10898" s="3"/>
    </row>
    <row r="10899" spans="2:2">
      <c r="B10899" s="3"/>
    </row>
    <row r="10900" spans="2:2">
      <c r="B10900" s="3"/>
    </row>
    <row r="10901" spans="2:2">
      <c r="B10901" s="3"/>
    </row>
    <row r="10902" spans="2:2">
      <c r="B10902" s="3"/>
    </row>
    <row r="10903" spans="2:2">
      <c r="B10903" s="3"/>
    </row>
    <row r="10904" spans="2:2">
      <c r="B10904" s="3"/>
    </row>
    <row r="10905" spans="2:2">
      <c r="B10905" s="3"/>
    </row>
    <row r="10906" spans="2:2">
      <c r="B10906" s="3"/>
    </row>
    <row r="10907" spans="2:2">
      <c r="B10907" s="3"/>
    </row>
    <row r="10908" spans="2:2">
      <c r="B10908" s="3"/>
    </row>
    <row r="10909" spans="2:2">
      <c r="B10909" s="3"/>
    </row>
    <row r="10910" spans="2:2">
      <c r="B10910" s="3"/>
    </row>
    <row r="10911" spans="2:2">
      <c r="B10911" s="3"/>
    </row>
    <row r="10912" spans="2:2">
      <c r="B10912" s="3"/>
    </row>
    <row r="10913" spans="2:2">
      <c r="B10913" s="3"/>
    </row>
    <row r="10914" spans="2:2">
      <c r="B10914" s="3"/>
    </row>
    <row r="10915" spans="2:2">
      <c r="B10915" s="3"/>
    </row>
    <row r="10916" spans="2:2">
      <c r="B10916" s="3"/>
    </row>
    <row r="10917" spans="2:2">
      <c r="B10917" s="3"/>
    </row>
    <row r="10918" spans="2:2">
      <c r="B10918" s="3"/>
    </row>
    <row r="10919" spans="2:2">
      <c r="B10919" s="3"/>
    </row>
    <row r="10920" spans="2:2">
      <c r="B10920" s="3"/>
    </row>
    <row r="10921" spans="2:2">
      <c r="B10921" s="3"/>
    </row>
    <row r="10922" spans="2:2">
      <c r="B10922" s="3"/>
    </row>
    <row r="10923" spans="2:2">
      <c r="B10923" s="3"/>
    </row>
    <row r="10924" spans="2:2">
      <c r="B10924" s="3"/>
    </row>
    <row r="10925" spans="2:2">
      <c r="B10925" s="3"/>
    </row>
    <row r="10926" spans="2:2">
      <c r="B10926" s="3"/>
    </row>
    <row r="10927" spans="2:2">
      <c r="B10927" s="3"/>
    </row>
    <row r="10928" spans="2:2">
      <c r="B10928" s="3"/>
    </row>
    <row r="10929" spans="2:2">
      <c r="B10929" s="3"/>
    </row>
    <row r="10930" spans="2:2">
      <c r="B10930" s="3"/>
    </row>
    <row r="10931" spans="2:2">
      <c r="B10931" s="3"/>
    </row>
    <row r="10932" spans="2:2">
      <c r="B10932" s="3"/>
    </row>
    <row r="10933" spans="2:2">
      <c r="B10933" s="3"/>
    </row>
    <row r="10934" spans="2:2">
      <c r="B10934" s="3"/>
    </row>
    <row r="10935" spans="2:2">
      <c r="B10935" s="3"/>
    </row>
    <row r="10936" spans="2:2">
      <c r="B10936" s="3"/>
    </row>
    <row r="10937" spans="2:2">
      <c r="B10937" s="3"/>
    </row>
    <row r="10938" spans="2:2">
      <c r="B10938" s="3"/>
    </row>
    <row r="10939" spans="2:2">
      <c r="B10939" s="3"/>
    </row>
    <row r="10940" spans="2:2">
      <c r="B10940" s="3"/>
    </row>
    <row r="10941" spans="2:2">
      <c r="B10941" s="3"/>
    </row>
    <row r="10942" spans="2:2">
      <c r="B10942" s="3"/>
    </row>
    <row r="10943" spans="2:2">
      <c r="B10943" s="3"/>
    </row>
    <row r="10944" spans="2:2">
      <c r="B10944" s="3"/>
    </row>
    <row r="10945" spans="2:2">
      <c r="B10945" s="3"/>
    </row>
    <row r="10946" spans="2:2">
      <c r="B10946" s="3"/>
    </row>
    <row r="10947" spans="2:2">
      <c r="B10947" s="3"/>
    </row>
    <row r="10948" spans="2:2">
      <c r="B10948" s="3"/>
    </row>
    <row r="10949" spans="2:2">
      <c r="B10949" s="3"/>
    </row>
    <row r="10950" spans="2:2">
      <c r="B10950" s="3"/>
    </row>
    <row r="10951" spans="2:2">
      <c r="B10951" s="3"/>
    </row>
    <row r="10952" spans="2:2">
      <c r="B10952" s="3"/>
    </row>
    <row r="10953" spans="2:2">
      <c r="B10953" s="3"/>
    </row>
    <row r="10954" spans="2:2">
      <c r="B10954" s="3"/>
    </row>
    <row r="10955" spans="2:2">
      <c r="B10955" s="3"/>
    </row>
    <row r="10956" spans="2:2">
      <c r="B10956" s="3"/>
    </row>
    <row r="10957" spans="2:2">
      <c r="B10957" s="3"/>
    </row>
    <row r="10958" spans="2:2">
      <c r="B10958" s="3"/>
    </row>
    <row r="10959" spans="2:2">
      <c r="B10959" s="3"/>
    </row>
    <row r="10960" spans="2:2">
      <c r="B10960" s="3"/>
    </row>
    <row r="10961" spans="2:2">
      <c r="B10961" s="3"/>
    </row>
    <row r="10962" spans="2:2">
      <c r="B10962" s="3"/>
    </row>
    <row r="10963" spans="2:2">
      <c r="B10963" s="3"/>
    </row>
    <row r="10964" spans="2:2">
      <c r="B10964" s="3"/>
    </row>
    <row r="10965" spans="2:2">
      <c r="B10965" s="3"/>
    </row>
    <row r="10966" spans="2:2">
      <c r="B10966" s="3"/>
    </row>
    <row r="10967" spans="2:2">
      <c r="B10967" s="3"/>
    </row>
    <row r="10968" spans="2:2">
      <c r="B10968" s="3"/>
    </row>
    <row r="10969" spans="2:2">
      <c r="B10969" s="3"/>
    </row>
    <row r="10970" spans="2:2">
      <c r="B10970" s="3"/>
    </row>
    <row r="10971" spans="2:2">
      <c r="B10971" s="3"/>
    </row>
    <row r="10972" spans="2:2">
      <c r="B10972" s="3"/>
    </row>
    <row r="10973" spans="2:2">
      <c r="B10973" s="3"/>
    </row>
    <row r="10974" spans="2:2">
      <c r="B10974" s="3"/>
    </row>
    <row r="10975" spans="2:2">
      <c r="B10975" s="3"/>
    </row>
    <row r="10976" spans="2:2">
      <c r="B10976" s="3"/>
    </row>
    <row r="10977" spans="2:2">
      <c r="B10977" s="3"/>
    </row>
    <row r="10978" spans="2:2">
      <c r="B10978" s="3"/>
    </row>
    <row r="10979" spans="2:2">
      <c r="B10979" s="3"/>
    </row>
    <row r="10980" spans="2:2">
      <c r="B10980" s="3"/>
    </row>
    <row r="10981" spans="2:2">
      <c r="B10981" s="3"/>
    </row>
    <row r="10982" spans="2:2">
      <c r="B10982" s="3"/>
    </row>
    <row r="10983" spans="2:2">
      <c r="B10983" s="3"/>
    </row>
    <row r="10984" spans="2:2">
      <c r="B10984" s="3"/>
    </row>
    <row r="10985" spans="2:2">
      <c r="B10985" s="3"/>
    </row>
    <row r="10986" spans="2:2">
      <c r="B10986" s="3"/>
    </row>
    <row r="10987" spans="2:2">
      <c r="B10987" s="3"/>
    </row>
    <row r="10988" spans="2:2">
      <c r="B10988" s="3"/>
    </row>
    <row r="10989" spans="2:2">
      <c r="B10989" s="3"/>
    </row>
    <row r="10990" spans="2:2">
      <c r="B10990" s="3"/>
    </row>
    <row r="10991" spans="2:2">
      <c r="B10991" s="3"/>
    </row>
    <row r="10992" spans="2:2">
      <c r="B10992" s="3"/>
    </row>
    <row r="10993" spans="2:2">
      <c r="B10993" s="3"/>
    </row>
    <row r="10994" spans="2:2">
      <c r="B10994" s="3"/>
    </row>
    <row r="10995" spans="2:2">
      <c r="B10995" s="3"/>
    </row>
    <row r="10996" spans="2:2">
      <c r="B10996" s="3"/>
    </row>
    <row r="10997" spans="2:2">
      <c r="B10997" s="3"/>
    </row>
    <row r="10998" spans="2:2">
      <c r="B10998" s="3"/>
    </row>
    <row r="10999" spans="2:2">
      <c r="B10999" s="3"/>
    </row>
    <row r="11000" spans="2:2">
      <c r="B11000" s="3"/>
    </row>
    <row r="11001" spans="2:2">
      <c r="B11001" s="3"/>
    </row>
    <row r="11002" spans="2:2">
      <c r="B11002" s="3"/>
    </row>
    <row r="11003" spans="2:2">
      <c r="B11003" s="3"/>
    </row>
    <row r="11004" spans="2:2">
      <c r="B11004" s="3"/>
    </row>
    <row r="11005" spans="2:2">
      <c r="B11005" s="3"/>
    </row>
    <row r="11006" spans="2:2">
      <c r="B11006" s="3"/>
    </row>
    <row r="11007" spans="2:2">
      <c r="B11007" s="3"/>
    </row>
    <row r="11008" spans="2:2">
      <c r="B11008" s="3"/>
    </row>
    <row r="11009" spans="2:2">
      <c r="B11009" s="3"/>
    </row>
    <row r="11010" spans="2:2">
      <c r="B11010" s="3"/>
    </row>
    <row r="11011" spans="2:2">
      <c r="B11011" s="3"/>
    </row>
    <row r="11012" spans="2:2">
      <c r="B11012" s="3"/>
    </row>
    <row r="11013" spans="2:2">
      <c r="B11013" s="3"/>
    </row>
    <row r="11014" spans="2:2">
      <c r="B11014" s="3"/>
    </row>
    <row r="11015" spans="2:2">
      <c r="B11015" s="3"/>
    </row>
    <row r="11016" spans="2:2">
      <c r="B11016" s="3"/>
    </row>
    <row r="11017" spans="2:2">
      <c r="B11017" s="3"/>
    </row>
    <row r="11018" spans="2:2">
      <c r="B11018" s="3"/>
    </row>
    <row r="11019" spans="2:2">
      <c r="B11019" s="3"/>
    </row>
    <row r="11020" spans="2:2">
      <c r="B11020" s="3"/>
    </row>
    <row r="11021" spans="2:2">
      <c r="B11021" s="3"/>
    </row>
    <row r="11022" spans="2:2">
      <c r="B11022" s="3"/>
    </row>
    <row r="11023" spans="2:2">
      <c r="B11023" s="3"/>
    </row>
    <row r="11024" spans="2:2">
      <c r="B11024" s="3"/>
    </row>
    <row r="11025" spans="2:2">
      <c r="B11025" s="3"/>
    </row>
    <row r="11026" spans="2:2">
      <c r="B11026" s="3"/>
    </row>
    <row r="11027" spans="2:2">
      <c r="B11027" s="3"/>
    </row>
    <row r="11028" spans="2:2">
      <c r="B11028" s="3"/>
    </row>
    <row r="11029" spans="2:2">
      <c r="B11029" s="3"/>
    </row>
    <row r="11030" spans="2:2">
      <c r="B11030" s="3"/>
    </row>
    <row r="11031" spans="2:2">
      <c r="B11031" s="3"/>
    </row>
    <row r="11032" spans="2:2">
      <c r="B11032" s="3"/>
    </row>
    <row r="11033" spans="2:2">
      <c r="B11033" s="3"/>
    </row>
    <row r="11034" spans="2:2">
      <c r="B11034" s="3"/>
    </row>
    <row r="11035" spans="2:2">
      <c r="B11035" s="3"/>
    </row>
    <row r="11036" spans="2:2">
      <c r="B11036" s="3"/>
    </row>
    <row r="11037" spans="2:2">
      <c r="B11037" s="3"/>
    </row>
    <row r="11038" spans="2:2">
      <c r="B11038" s="3"/>
    </row>
    <row r="11039" spans="2:2">
      <c r="B11039" s="3"/>
    </row>
    <row r="11040" spans="2:2">
      <c r="B11040" s="3"/>
    </row>
    <row r="11041" spans="2:2">
      <c r="B11041" s="3"/>
    </row>
    <row r="11042" spans="2:2">
      <c r="B11042" s="3"/>
    </row>
    <row r="11043" spans="2:2">
      <c r="B11043" s="3"/>
    </row>
    <row r="11044" spans="2:2">
      <c r="B11044" s="3"/>
    </row>
    <row r="11045" spans="2:2">
      <c r="B11045" s="3"/>
    </row>
    <row r="11046" spans="2:2">
      <c r="B11046" s="3"/>
    </row>
    <row r="11047" spans="2:2">
      <c r="B11047" s="3"/>
    </row>
    <row r="11048" spans="2:2">
      <c r="B11048" s="3"/>
    </row>
    <row r="11049" spans="2:2">
      <c r="B11049" s="3"/>
    </row>
    <row r="11050" spans="2:2">
      <c r="B11050" s="3"/>
    </row>
    <row r="11051" spans="2:2">
      <c r="B11051" s="3"/>
    </row>
    <row r="11052" spans="2:2">
      <c r="B11052" s="3"/>
    </row>
    <row r="11053" spans="2:2">
      <c r="B11053" s="3"/>
    </row>
    <row r="11054" spans="2:2">
      <c r="B11054" s="3"/>
    </row>
    <row r="11055" spans="2:2">
      <c r="B11055" s="3"/>
    </row>
    <row r="11056" spans="2:2">
      <c r="B11056" s="3"/>
    </row>
    <row r="11057" spans="2:2">
      <c r="B11057" s="3"/>
    </row>
    <row r="11058" spans="2:2">
      <c r="B11058" s="3"/>
    </row>
    <row r="11059" spans="2:2">
      <c r="B11059" s="3"/>
    </row>
    <row r="11060" spans="2:2">
      <c r="B11060" s="3"/>
    </row>
    <row r="11061" spans="2:2">
      <c r="B11061" s="3"/>
    </row>
    <row r="11062" spans="2:2">
      <c r="B11062" s="3"/>
    </row>
    <row r="11063" spans="2:2">
      <c r="B11063" s="3"/>
    </row>
    <row r="11064" spans="2:2">
      <c r="B11064" s="3"/>
    </row>
    <row r="11065" spans="2:2">
      <c r="B11065" s="3"/>
    </row>
    <row r="11066" spans="2:2">
      <c r="B11066" s="3"/>
    </row>
    <row r="11067" spans="2:2">
      <c r="B11067" s="3"/>
    </row>
    <row r="11068" spans="2:2">
      <c r="B11068" s="3"/>
    </row>
    <row r="11069" spans="2:2">
      <c r="B11069" s="3"/>
    </row>
    <row r="11070" spans="2:2">
      <c r="B11070" s="3"/>
    </row>
    <row r="11071" spans="2:2">
      <c r="B11071" s="3"/>
    </row>
    <row r="11072" spans="2:2">
      <c r="B11072" s="3"/>
    </row>
    <row r="11073" spans="2:2">
      <c r="B11073" s="3"/>
    </row>
    <row r="11074" spans="2:2">
      <c r="B11074" s="3"/>
    </row>
    <row r="11075" spans="2:2">
      <c r="B11075" s="3"/>
    </row>
    <row r="11076" spans="2:2">
      <c r="B11076" s="3"/>
    </row>
    <row r="11077" spans="2:2">
      <c r="B11077" s="3"/>
    </row>
    <row r="11078" spans="2:2">
      <c r="B11078" s="3"/>
    </row>
    <row r="11079" spans="2:2">
      <c r="B11079" s="3"/>
    </row>
    <row r="11080" spans="2:2">
      <c r="B11080" s="3"/>
    </row>
    <row r="11081" spans="2:2">
      <c r="B11081" s="3"/>
    </row>
    <row r="11082" spans="2:2">
      <c r="B11082" s="3"/>
    </row>
    <row r="11083" spans="2:2">
      <c r="B11083" s="3"/>
    </row>
    <row r="11084" spans="2:2">
      <c r="B11084" s="3"/>
    </row>
    <row r="11085" spans="2:2">
      <c r="B11085" s="3"/>
    </row>
    <row r="11086" spans="2:2">
      <c r="B11086" s="3"/>
    </row>
    <row r="11087" spans="2:2">
      <c r="B11087" s="3"/>
    </row>
    <row r="11088" spans="2:2">
      <c r="B11088" s="3"/>
    </row>
    <row r="11089" spans="2:2">
      <c r="B11089" s="3"/>
    </row>
    <row r="11090" spans="2:2">
      <c r="B11090" s="3"/>
    </row>
    <row r="11091" spans="2:2">
      <c r="B11091" s="3"/>
    </row>
    <row r="11092" spans="2:2">
      <c r="B11092" s="3"/>
    </row>
    <row r="11093" spans="2:2">
      <c r="B11093" s="3"/>
    </row>
    <row r="11094" spans="2:2">
      <c r="B11094" s="3"/>
    </row>
    <row r="11095" spans="2:2">
      <c r="B11095" s="3"/>
    </row>
    <row r="11096" spans="2:2">
      <c r="B11096" s="3"/>
    </row>
    <row r="11097" spans="2:2">
      <c r="B11097" s="3"/>
    </row>
    <row r="11098" spans="2:2">
      <c r="B11098" s="3"/>
    </row>
    <row r="11099" spans="2:2">
      <c r="B11099" s="3"/>
    </row>
    <row r="11100" spans="2:2">
      <c r="B11100" s="3"/>
    </row>
    <row r="11101" spans="2:2">
      <c r="B11101" s="3"/>
    </row>
    <row r="11102" spans="2:2">
      <c r="B11102" s="3"/>
    </row>
    <row r="11103" spans="2:2">
      <c r="B11103" s="3"/>
    </row>
    <row r="11104" spans="2:2">
      <c r="B11104" s="3"/>
    </row>
    <row r="11105" spans="2:2">
      <c r="B11105" s="3"/>
    </row>
    <row r="11106" spans="2:2">
      <c r="B11106" s="3"/>
    </row>
    <row r="11107" spans="2:2">
      <c r="B11107" s="3"/>
    </row>
    <row r="11108" spans="2:2">
      <c r="B11108" s="3"/>
    </row>
    <row r="11109" spans="2:2">
      <c r="B11109" s="3"/>
    </row>
    <row r="11110" spans="2:2">
      <c r="B11110" s="3"/>
    </row>
    <row r="11111" spans="2:2">
      <c r="B11111" s="3"/>
    </row>
    <row r="11112" spans="2:2">
      <c r="B11112" s="3"/>
    </row>
    <row r="11113" spans="2:2">
      <c r="B11113" s="3"/>
    </row>
    <row r="11114" spans="2:2">
      <c r="B11114" s="3"/>
    </row>
    <row r="11115" spans="2:2">
      <c r="B11115" s="3"/>
    </row>
    <row r="11116" spans="2:2">
      <c r="B11116" s="3"/>
    </row>
    <row r="11117" spans="2:2">
      <c r="B11117" s="3"/>
    </row>
    <row r="11118" spans="2:2">
      <c r="B11118" s="3"/>
    </row>
    <row r="11119" spans="2:2">
      <c r="B11119" s="3"/>
    </row>
    <row r="11120" spans="2:2">
      <c r="B11120" s="3"/>
    </row>
    <row r="11121" spans="2:2">
      <c r="B11121" s="3"/>
    </row>
    <row r="11122" spans="2:2">
      <c r="B11122" s="3"/>
    </row>
    <row r="11123" spans="2:2">
      <c r="B11123" s="3"/>
    </row>
    <row r="11124" spans="2:2">
      <c r="B11124" s="3"/>
    </row>
    <row r="11125" spans="2:2">
      <c r="B11125" s="3"/>
    </row>
    <row r="11126" spans="2:2">
      <c r="B11126" s="3"/>
    </row>
    <row r="11127" spans="2:2">
      <c r="B11127" s="3"/>
    </row>
    <row r="11128" spans="2:2">
      <c r="B11128" s="3"/>
    </row>
    <row r="11129" spans="2:2">
      <c r="B11129" s="3"/>
    </row>
    <row r="11130" spans="2:2">
      <c r="B11130" s="3"/>
    </row>
    <row r="11131" spans="2:2">
      <c r="B11131" s="3"/>
    </row>
    <row r="11132" spans="2:2">
      <c r="B11132" s="3"/>
    </row>
    <row r="11133" spans="2:2">
      <c r="B11133" s="3"/>
    </row>
    <row r="11134" spans="2:2">
      <c r="B11134" s="3"/>
    </row>
    <row r="11135" spans="2:2">
      <c r="B11135" s="3"/>
    </row>
    <row r="11136" spans="2:2">
      <c r="B11136" s="3"/>
    </row>
    <row r="11137" spans="2:2">
      <c r="B11137" s="3"/>
    </row>
    <row r="11138" spans="2:2">
      <c r="B11138" s="3"/>
    </row>
    <row r="11139" spans="2:2">
      <c r="B11139" s="3"/>
    </row>
    <row r="11140" spans="2:2">
      <c r="B11140" s="3"/>
    </row>
    <row r="11141" spans="2:2">
      <c r="B11141" s="3"/>
    </row>
    <row r="11142" spans="2:2">
      <c r="B11142" s="3"/>
    </row>
    <row r="11143" spans="2:2">
      <c r="B11143" s="3"/>
    </row>
    <row r="11144" spans="2:2">
      <c r="B11144" s="3"/>
    </row>
    <row r="11145" spans="2:2">
      <c r="B11145" s="3"/>
    </row>
    <row r="11146" spans="2:2">
      <c r="B11146" s="3"/>
    </row>
    <row r="11147" spans="2:2">
      <c r="B11147" s="3"/>
    </row>
    <row r="11148" spans="2:2">
      <c r="B11148" s="3"/>
    </row>
    <row r="11149" spans="2:2">
      <c r="B11149" s="3"/>
    </row>
    <row r="11150" spans="2:2">
      <c r="B11150" s="3"/>
    </row>
    <row r="11151" spans="2:2">
      <c r="B11151" s="3"/>
    </row>
    <row r="11152" spans="2:2">
      <c r="B11152" s="3"/>
    </row>
    <row r="11153" spans="2:2">
      <c r="B11153" s="3"/>
    </row>
    <row r="11154" spans="2:2">
      <c r="B11154" s="3"/>
    </row>
    <row r="11155" spans="2:2">
      <c r="B11155" s="3"/>
    </row>
    <row r="11156" spans="2:2">
      <c r="B11156" s="3"/>
    </row>
    <row r="11157" spans="2:2">
      <c r="B11157" s="3"/>
    </row>
    <row r="11158" spans="2:2">
      <c r="B11158" s="3"/>
    </row>
    <row r="11159" spans="2:2">
      <c r="B11159" s="3"/>
    </row>
    <row r="11160" spans="2:2">
      <c r="B11160" s="3"/>
    </row>
    <row r="11161" spans="2:2">
      <c r="B11161" s="3"/>
    </row>
    <row r="11162" spans="2:2">
      <c r="B11162" s="3"/>
    </row>
    <row r="11163" spans="2:2">
      <c r="B11163" s="3"/>
    </row>
    <row r="11164" spans="2:2">
      <c r="B11164" s="3"/>
    </row>
    <row r="11165" spans="2:2">
      <c r="B11165" s="3"/>
    </row>
    <row r="11166" spans="2:2">
      <c r="B11166" s="3"/>
    </row>
    <row r="11167" spans="2:2">
      <c r="B11167" s="3"/>
    </row>
    <row r="11168" spans="2:2">
      <c r="B11168" s="3"/>
    </row>
    <row r="11169" spans="2:2">
      <c r="B11169" s="3"/>
    </row>
    <row r="11170" spans="2:2">
      <c r="B11170" s="3"/>
    </row>
    <row r="11171" spans="2:2">
      <c r="B11171" s="3"/>
    </row>
    <row r="11172" spans="2:2">
      <c r="B11172" s="3"/>
    </row>
    <row r="11173" spans="2:2">
      <c r="B11173" s="3"/>
    </row>
    <row r="11174" spans="2:2">
      <c r="B11174" s="3"/>
    </row>
    <row r="11175" spans="2:2">
      <c r="B11175" s="3"/>
    </row>
    <row r="11176" spans="2:2">
      <c r="B11176" s="3"/>
    </row>
    <row r="11177" spans="2:2">
      <c r="B11177" s="3"/>
    </row>
    <row r="11178" spans="2:2">
      <c r="B11178" s="3"/>
    </row>
    <row r="11179" spans="2:2">
      <c r="B11179" s="3"/>
    </row>
    <row r="11180" spans="2:2">
      <c r="B11180" s="3"/>
    </row>
    <row r="11181" spans="2:2">
      <c r="B11181" s="3"/>
    </row>
    <row r="11182" spans="2:2">
      <c r="B11182" s="3"/>
    </row>
    <row r="11183" spans="2:2">
      <c r="B11183" s="3"/>
    </row>
    <row r="11184" spans="2:2">
      <c r="B11184" s="3"/>
    </row>
    <row r="11185" spans="2:2">
      <c r="B11185" s="3"/>
    </row>
    <row r="11186" spans="2:2">
      <c r="B11186" s="3"/>
    </row>
    <row r="11187" spans="2:2">
      <c r="B11187" s="3"/>
    </row>
    <row r="11188" spans="2:2">
      <c r="B11188" s="3"/>
    </row>
    <row r="11189" spans="2:2">
      <c r="B11189" s="3"/>
    </row>
    <row r="11190" spans="2:2">
      <c r="B11190" s="3"/>
    </row>
    <row r="11191" spans="2:2">
      <c r="B11191" s="3"/>
    </row>
    <row r="11192" spans="2:2">
      <c r="B11192" s="3"/>
    </row>
    <row r="11193" spans="2:2">
      <c r="B11193" s="3"/>
    </row>
    <row r="11194" spans="2:2">
      <c r="B11194" s="3"/>
    </row>
    <row r="11195" spans="2:2">
      <c r="B11195" s="3"/>
    </row>
    <row r="11196" spans="2:2">
      <c r="B11196" s="3"/>
    </row>
    <row r="11197" spans="2:2">
      <c r="B11197" s="3"/>
    </row>
    <row r="11198" spans="2:2">
      <c r="B11198" s="3"/>
    </row>
    <row r="11199" spans="2:2">
      <c r="B11199" s="3"/>
    </row>
    <row r="11200" spans="2:2">
      <c r="B11200" s="3"/>
    </row>
    <row r="11201" spans="2:2">
      <c r="B11201" s="3"/>
    </row>
    <row r="11202" spans="2:2">
      <c r="B11202" s="3"/>
    </row>
    <row r="11203" spans="2:2">
      <c r="B11203" s="3"/>
    </row>
    <row r="11204" spans="2:2">
      <c r="B11204" s="3"/>
    </row>
    <row r="11205" spans="2:2">
      <c r="B11205" s="3"/>
    </row>
    <row r="11206" spans="2:2">
      <c r="B11206" s="3"/>
    </row>
    <row r="11207" spans="2:2">
      <c r="B11207" s="3"/>
    </row>
    <row r="11208" spans="2:2">
      <c r="B11208" s="3"/>
    </row>
    <row r="11209" spans="2:2">
      <c r="B11209" s="3"/>
    </row>
    <row r="11210" spans="2:2">
      <c r="B11210" s="3"/>
    </row>
    <row r="11211" spans="2:2">
      <c r="B11211" s="3"/>
    </row>
    <row r="11212" spans="2:2">
      <c r="B11212" s="3"/>
    </row>
    <row r="11213" spans="2:2">
      <c r="B11213" s="3"/>
    </row>
    <row r="11214" spans="2:2">
      <c r="B11214" s="3"/>
    </row>
    <row r="11215" spans="2:2">
      <c r="B11215" s="3"/>
    </row>
    <row r="11216" spans="2:2">
      <c r="B11216" s="3"/>
    </row>
    <row r="11217" spans="2:2">
      <c r="B11217" s="3"/>
    </row>
    <row r="11218" spans="2:2">
      <c r="B11218" s="3"/>
    </row>
    <row r="11219" spans="2:2">
      <c r="B11219" s="3"/>
    </row>
    <row r="11220" spans="2:2">
      <c r="B11220" s="3"/>
    </row>
    <row r="11221" spans="2:2">
      <c r="B11221" s="3"/>
    </row>
    <row r="11222" spans="2:2">
      <c r="B11222" s="3"/>
    </row>
    <row r="11223" spans="2:2">
      <c r="B11223" s="3"/>
    </row>
    <row r="11224" spans="2:2">
      <c r="B11224" s="3"/>
    </row>
    <row r="11225" spans="2:2">
      <c r="B11225" s="3"/>
    </row>
    <row r="11226" spans="2:2">
      <c r="B11226" s="3"/>
    </row>
    <row r="11227" spans="2:2">
      <c r="B11227" s="3"/>
    </row>
    <row r="11228" spans="2:2">
      <c r="B11228" s="3"/>
    </row>
    <row r="11229" spans="2:2">
      <c r="B11229" s="3"/>
    </row>
    <row r="11230" spans="2:2">
      <c r="B11230" s="3"/>
    </row>
    <row r="11231" spans="2:2">
      <c r="B11231" s="3"/>
    </row>
    <row r="11232" spans="2:2">
      <c r="B11232" s="3"/>
    </row>
    <row r="11233" spans="2:2">
      <c r="B11233" s="3"/>
    </row>
    <row r="11234" spans="2:2">
      <c r="B11234" s="3"/>
    </row>
    <row r="11235" spans="2:2">
      <c r="B11235" s="3"/>
    </row>
    <row r="11236" spans="2:2">
      <c r="B11236" s="3"/>
    </row>
    <row r="11237" spans="2:2">
      <c r="B11237" s="3"/>
    </row>
    <row r="11238" spans="2:2">
      <c r="B11238" s="3"/>
    </row>
    <row r="11239" spans="2:2">
      <c r="B11239" s="3"/>
    </row>
    <row r="11240" spans="2:2">
      <c r="B11240" s="3"/>
    </row>
    <row r="11241" spans="2:2">
      <c r="B11241" s="3"/>
    </row>
    <row r="11242" spans="2:2">
      <c r="B11242" s="3"/>
    </row>
    <row r="11243" spans="2:2">
      <c r="B11243" s="3"/>
    </row>
    <row r="11244" spans="2:2">
      <c r="B11244" s="3"/>
    </row>
    <row r="11245" spans="2:2">
      <c r="B11245" s="3"/>
    </row>
    <row r="11246" spans="2:2">
      <c r="B11246" s="3"/>
    </row>
    <row r="11247" spans="2:2">
      <c r="B11247" s="3"/>
    </row>
    <row r="11248" spans="2:2">
      <c r="B11248" s="3"/>
    </row>
    <row r="11249" spans="2:2">
      <c r="B11249" s="3"/>
    </row>
    <row r="11250" spans="2:2">
      <c r="B11250" s="3"/>
    </row>
    <row r="11251" spans="2:2">
      <c r="B11251" s="3"/>
    </row>
    <row r="11252" spans="2:2">
      <c r="B11252" s="3"/>
    </row>
    <row r="11253" spans="2:2">
      <c r="B11253" s="3"/>
    </row>
    <row r="11254" spans="2:2">
      <c r="B11254" s="3"/>
    </row>
    <row r="11255" spans="2:2">
      <c r="B11255" s="3"/>
    </row>
    <row r="11256" spans="2:2">
      <c r="B11256" s="3"/>
    </row>
    <row r="11257" spans="2:2">
      <c r="B11257" s="3"/>
    </row>
    <row r="11258" spans="2:2">
      <c r="B11258" s="3"/>
    </row>
    <row r="11259" spans="2:2">
      <c r="B11259" s="3"/>
    </row>
    <row r="11260" spans="2:2">
      <c r="B11260" s="3"/>
    </row>
    <row r="11261" spans="2:2">
      <c r="B11261" s="3"/>
    </row>
    <row r="11262" spans="2:2">
      <c r="B11262" s="3"/>
    </row>
    <row r="11263" spans="2:2">
      <c r="B11263" s="3"/>
    </row>
    <row r="11264" spans="2:2">
      <c r="B11264" s="3"/>
    </row>
    <row r="11265" spans="2:2">
      <c r="B11265" s="3"/>
    </row>
    <row r="11266" spans="2:2">
      <c r="B11266" s="3"/>
    </row>
    <row r="11267" spans="2:2">
      <c r="B11267" s="3"/>
    </row>
    <row r="11268" spans="2:2">
      <c r="B11268" s="3"/>
    </row>
    <row r="11269" spans="2:2">
      <c r="B11269" s="3"/>
    </row>
    <row r="11270" spans="2:2">
      <c r="B11270" s="3"/>
    </row>
    <row r="11271" spans="2:2">
      <c r="B11271" s="3"/>
    </row>
    <row r="11272" spans="2:2">
      <c r="B11272" s="3"/>
    </row>
    <row r="11273" spans="2:2">
      <c r="B11273" s="3"/>
    </row>
    <row r="11274" spans="2:2">
      <c r="B11274" s="3"/>
    </row>
    <row r="11275" spans="2:2">
      <c r="B11275" s="3"/>
    </row>
    <row r="11276" spans="2:2">
      <c r="B11276" s="3"/>
    </row>
    <row r="11277" spans="2:2">
      <c r="B11277" s="3"/>
    </row>
    <row r="11278" spans="2:2">
      <c r="B11278" s="3"/>
    </row>
    <row r="11279" spans="2:2">
      <c r="B11279" s="3"/>
    </row>
    <row r="11280" spans="2:2">
      <c r="B11280" s="3"/>
    </row>
    <row r="11281" spans="2:2">
      <c r="B11281" s="3"/>
    </row>
    <row r="11282" spans="2:2">
      <c r="B11282" s="3"/>
    </row>
    <row r="11283" spans="2:2">
      <c r="B11283" s="3"/>
    </row>
    <row r="11284" spans="2:2">
      <c r="B11284" s="3"/>
    </row>
    <row r="11285" spans="2:2">
      <c r="B11285" s="3"/>
    </row>
    <row r="11286" spans="2:2">
      <c r="B11286" s="3"/>
    </row>
    <row r="11287" spans="2:2">
      <c r="B11287" s="3"/>
    </row>
    <row r="11288" spans="2:2">
      <c r="B11288" s="3"/>
    </row>
    <row r="11289" spans="2:2">
      <c r="B11289" s="3"/>
    </row>
    <row r="11290" spans="2:2">
      <c r="B11290" s="3"/>
    </row>
    <row r="11291" spans="2:2">
      <c r="B11291" s="3"/>
    </row>
    <row r="11292" spans="2:2">
      <c r="B11292" s="3"/>
    </row>
    <row r="11293" spans="2:2">
      <c r="B11293" s="3"/>
    </row>
    <row r="11294" spans="2:2">
      <c r="B11294" s="3"/>
    </row>
    <row r="11295" spans="2:2">
      <c r="B11295" s="3"/>
    </row>
    <row r="11296" spans="2:2">
      <c r="B11296" s="3"/>
    </row>
    <row r="11297" spans="2:2">
      <c r="B11297" s="3"/>
    </row>
    <row r="11298" spans="2:2">
      <c r="B11298" s="3"/>
    </row>
    <row r="11299" spans="2:2">
      <c r="B11299" s="3"/>
    </row>
    <row r="11300" spans="2:2">
      <c r="B11300" s="3"/>
    </row>
    <row r="11301" spans="2:2">
      <c r="B11301" s="3"/>
    </row>
    <row r="11302" spans="2:2">
      <c r="B11302" s="3"/>
    </row>
    <row r="11303" spans="2:2">
      <c r="B11303" s="3"/>
    </row>
    <row r="11304" spans="2:2">
      <c r="B11304" s="3"/>
    </row>
    <row r="11305" spans="2:2">
      <c r="B11305" s="3"/>
    </row>
    <row r="11306" spans="2:2">
      <c r="B11306" s="3"/>
    </row>
    <row r="11307" spans="2:2">
      <c r="B11307" s="3"/>
    </row>
    <row r="11308" spans="2:2">
      <c r="B11308" s="3"/>
    </row>
    <row r="11309" spans="2:2">
      <c r="B11309" s="3"/>
    </row>
    <row r="11310" spans="2:2">
      <c r="B11310" s="3"/>
    </row>
    <row r="11311" spans="2:2">
      <c r="B11311" s="3"/>
    </row>
    <row r="11312" spans="2:2">
      <c r="B11312" s="3"/>
    </row>
    <row r="11313" spans="2:2">
      <c r="B11313" s="3"/>
    </row>
    <row r="11314" spans="2:2">
      <c r="B11314" s="3"/>
    </row>
    <row r="11315" spans="2:2">
      <c r="B11315" s="3"/>
    </row>
    <row r="11316" spans="2:2">
      <c r="B11316" s="3"/>
    </row>
    <row r="11317" spans="2:2">
      <c r="B11317" s="3"/>
    </row>
    <row r="11318" spans="2:2">
      <c r="B11318" s="3"/>
    </row>
    <row r="11319" spans="2:2">
      <c r="B11319" s="3"/>
    </row>
    <row r="11320" spans="2:2">
      <c r="B11320" s="3"/>
    </row>
    <row r="11321" spans="2:2">
      <c r="B11321" s="3"/>
    </row>
    <row r="11322" spans="2:2">
      <c r="B11322" s="3"/>
    </row>
    <row r="11323" spans="2:2">
      <c r="B11323" s="3"/>
    </row>
    <row r="11324" spans="2:2">
      <c r="B11324" s="3"/>
    </row>
    <row r="11325" spans="2:2">
      <c r="B11325" s="3"/>
    </row>
    <row r="11326" spans="2:2">
      <c r="B11326" s="3"/>
    </row>
    <row r="11327" spans="2:2">
      <c r="B11327" s="3"/>
    </row>
    <row r="11328" spans="2:2">
      <c r="B11328" s="3"/>
    </row>
    <row r="11329" spans="2:2">
      <c r="B11329" s="3"/>
    </row>
    <row r="11330" spans="2:2">
      <c r="B11330" s="3"/>
    </row>
    <row r="11331" spans="2:2">
      <c r="B11331" s="3"/>
    </row>
    <row r="11332" spans="2:2">
      <c r="B11332" s="3"/>
    </row>
    <row r="11333" spans="2:2">
      <c r="B11333" s="3"/>
    </row>
    <row r="11334" spans="2:2">
      <c r="B11334" s="3"/>
    </row>
    <row r="11335" spans="2:2">
      <c r="B11335" s="3"/>
    </row>
    <row r="11336" spans="2:2">
      <c r="B11336" s="3"/>
    </row>
    <row r="11337" spans="2:2">
      <c r="B11337" s="3"/>
    </row>
    <row r="11338" spans="2:2">
      <c r="B11338" s="3"/>
    </row>
    <row r="11339" spans="2:2">
      <c r="B11339" s="3"/>
    </row>
    <row r="11340" spans="2:2">
      <c r="B11340" s="3"/>
    </row>
    <row r="11341" spans="2:2">
      <c r="B11341" s="3"/>
    </row>
    <row r="11342" spans="2:2">
      <c r="B11342" s="3"/>
    </row>
    <row r="11343" spans="2:2">
      <c r="B11343" s="3"/>
    </row>
    <row r="11344" spans="2:2">
      <c r="B11344" s="3"/>
    </row>
    <row r="11345" spans="2:2">
      <c r="B11345" s="3"/>
    </row>
    <row r="11346" spans="2:2">
      <c r="B11346" s="3"/>
    </row>
    <row r="11347" spans="2:2">
      <c r="B11347" s="3"/>
    </row>
    <row r="11348" spans="2:2">
      <c r="B11348" s="3"/>
    </row>
    <row r="11349" spans="2:2">
      <c r="B11349" s="3"/>
    </row>
    <row r="11350" spans="2:2">
      <c r="B11350" s="3"/>
    </row>
    <row r="11351" spans="2:2">
      <c r="B11351" s="3"/>
    </row>
    <row r="11352" spans="2:2">
      <c r="B11352" s="3"/>
    </row>
    <row r="11353" spans="2:2">
      <c r="B11353" s="3"/>
    </row>
    <row r="11354" spans="2:2">
      <c r="B11354" s="3"/>
    </row>
    <row r="11355" spans="2:2">
      <c r="B11355" s="3"/>
    </row>
    <row r="11356" spans="2:2">
      <c r="B11356" s="3"/>
    </row>
    <row r="11357" spans="2:2">
      <c r="B11357" s="3"/>
    </row>
    <row r="11358" spans="2:2">
      <c r="B11358" s="3"/>
    </row>
    <row r="11359" spans="2:2">
      <c r="B11359" s="3"/>
    </row>
    <row r="11360" spans="2:2">
      <c r="B11360" s="3"/>
    </row>
    <row r="11361" spans="2:2">
      <c r="B11361" s="3"/>
    </row>
    <row r="11362" spans="2:2">
      <c r="B11362" s="3"/>
    </row>
    <row r="11363" spans="2:2">
      <c r="B11363" s="3"/>
    </row>
    <row r="11364" spans="2:2">
      <c r="B11364" s="3"/>
    </row>
    <row r="11365" spans="2:2">
      <c r="B11365" s="3"/>
    </row>
    <row r="11366" spans="2:2">
      <c r="B11366" s="3"/>
    </row>
    <row r="11367" spans="2:2">
      <c r="B11367" s="3"/>
    </row>
    <row r="11368" spans="2:2">
      <c r="B11368" s="3"/>
    </row>
    <row r="11369" spans="2:2">
      <c r="B11369" s="3"/>
    </row>
    <row r="11370" spans="2:2">
      <c r="B11370" s="3"/>
    </row>
    <row r="11371" spans="2:2">
      <c r="B11371" s="3"/>
    </row>
    <row r="11372" spans="2:2">
      <c r="B11372" s="3"/>
    </row>
    <row r="11373" spans="2:2">
      <c r="B11373" s="3"/>
    </row>
    <row r="11374" spans="2:2">
      <c r="B11374" s="3"/>
    </row>
    <row r="11375" spans="2:2">
      <c r="B11375" s="3"/>
    </row>
    <row r="11376" spans="2:2">
      <c r="B11376" s="3"/>
    </row>
    <row r="11377" spans="2:2">
      <c r="B11377" s="3"/>
    </row>
    <row r="11378" spans="2:2">
      <c r="B11378" s="3"/>
    </row>
    <row r="11379" spans="2:2">
      <c r="B11379" s="3"/>
    </row>
    <row r="11380" spans="2:2">
      <c r="B11380" s="3"/>
    </row>
    <row r="11381" spans="2:2">
      <c r="B11381" s="3"/>
    </row>
    <row r="11382" spans="2:2">
      <c r="B11382" s="3"/>
    </row>
    <row r="11383" spans="2:2">
      <c r="B11383" s="3"/>
    </row>
    <row r="11384" spans="2:2">
      <c r="B11384" s="3"/>
    </row>
    <row r="11385" spans="2:2">
      <c r="B11385" s="3"/>
    </row>
    <row r="11386" spans="2:2">
      <c r="B11386" s="3"/>
    </row>
    <row r="11387" spans="2:2">
      <c r="B11387" s="3"/>
    </row>
    <row r="11388" spans="2:2">
      <c r="B11388" s="3"/>
    </row>
    <row r="11389" spans="2:2">
      <c r="B11389" s="3"/>
    </row>
    <row r="11390" spans="2:2">
      <c r="B11390" s="3"/>
    </row>
    <row r="11391" spans="2:2">
      <c r="B11391" s="3"/>
    </row>
    <row r="11392" spans="2:2">
      <c r="B11392" s="3"/>
    </row>
    <row r="11393" spans="2:2">
      <c r="B11393" s="3"/>
    </row>
    <row r="11394" spans="2:2">
      <c r="B11394" s="3"/>
    </row>
    <row r="11395" spans="2:2">
      <c r="B11395" s="3"/>
    </row>
    <row r="11396" spans="2:2">
      <c r="B11396" s="3"/>
    </row>
    <row r="11397" spans="2:2">
      <c r="B11397" s="3"/>
    </row>
    <row r="11398" spans="2:2">
      <c r="B11398" s="3"/>
    </row>
    <row r="11399" spans="2:2">
      <c r="B11399" s="3"/>
    </row>
    <row r="11400" spans="2:2">
      <c r="B11400" s="3"/>
    </row>
    <row r="11401" spans="2:2">
      <c r="B11401" s="3"/>
    </row>
    <row r="11402" spans="2:2">
      <c r="B11402" s="3"/>
    </row>
    <row r="11403" spans="2:2">
      <c r="B11403" s="3"/>
    </row>
    <row r="11404" spans="2:2">
      <c r="B11404" s="3"/>
    </row>
    <row r="11405" spans="2:2">
      <c r="B11405" s="3"/>
    </row>
    <row r="11406" spans="2:2">
      <c r="B11406" s="3"/>
    </row>
    <row r="11407" spans="2:2">
      <c r="B11407" s="3"/>
    </row>
    <row r="11408" spans="2:2">
      <c r="B11408" s="3"/>
    </row>
    <row r="11409" spans="2:2">
      <c r="B11409" s="3"/>
    </row>
    <row r="11410" spans="2:2">
      <c r="B11410" s="3"/>
    </row>
    <row r="11411" spans="2:2">
      <c r="B11411" s="3"/>
    </row>
    <row r="11412" spans="2:2">
      <c r="B11412" s="3"/>
    </row>
    <row r="11413" spans="2:2">
      <c r="B11413" s="3"/>
    </row>
    <row r="11414" spans="2:2">
      <c r="B11414" s="3"/>
    </row>
    <row r="11415" spans="2:2">
      <c r="B11415" s="3"/>
    </row>
    <row r="11416" spans="2:2">
      <c r="B11416" s="3"/>
    </row>
    <row r="11417" spans="2:2">
      <c r="B11417" s="3"/>
    </row>
    <row r="11418" spans="2:2">
      <c r="B11418" s="3"/>
    </row>
    <row r="11419" spans="2:2">
      <c r="B11419" s="3"/>
    </row>
    <row r="11420" spans="2:2">
      <c r="B11420" s="3"/>
    </row>
    <row r="11421" spans="2:2">
      <c r="B11421" s="3"/>
    </row>
    <row r="11422" spans="2:2">
      <c r="B11422" s="3"/>
    </row>
    <row r="11423" spans="2:2">
      <c r="B11423" s="3"/>
    </row>
    <row r="11424" spans="2:2">
      <c r="B11424" s="3"/>
    </row>
    <row r="11425" spans="2:2">
      <c r="B11425" s="3"/>
    </row>
    <row r="11426" spans="2:2">
      <c r="B11426" s="3"/>
    </row>
    <row r="11427" spans="2:2">
      <c r="B11427" s="3"/>
    </row>
    <row r="11428" spans="2:2">
      <c r="B11428" s="3"/>
    </row>
    <row r="11429" spans="2:2">
      <c r="B11429" s="3"/>
    </row>
    <row r="11430" spans="2:2">
      <c r="B11430" s="3"/>
    </row>
    <row r="11431" spans="2:2">
      <c r="B11431" s="3"/>
    </row>
    <row r="11432" spans="2:2">
      <c r="B11432" s="3"/>
    </row>
    <row r="11433" spans="2:2">
      <c r="B11433" s="3"/>
    </row>
    <row r="11434" spans="2:2">
      <c r="B11434" s="3"/>
    </row>
    <row r="11435" spans="2:2">
      <c r="B11435" s="3"/>
    </row>
    <row r="11436" spans="2:2">
      <c r="B11436" s="3"/>
    </row>
    <row r="11437" spans="2:2">
      <c r="B11437" s="3"/>
    </row>
    <row r="11438" spans="2:2">
      <c r="B11438" s="3"/>
    </row>
    <row r="11439" spans="2:2">
      <c r="B11439" s="3"/>
    </row>
    <row r="11440" spans="2:2">
      <c r="B11440" s="3"/>
    </row>
    <row r="11441" spans="2:2">
      <c r="B11441" s="3"/>
    </row>
    <row r="11442" spans="2:2">
      <c r="B11442" s="3"/>
    </row>
    <row r="11443" spans="2:2">
      <c r="B11443" s="3"/>
    </row>
    <row r="11444" spans="2:2">
      <c r="B11444" s="3"/>
    </row>
    <row r="11445" spans="2:2">
      <c r="B11445" s="3"/>
    </row>
    <row r="11446" spans="2:2">
      <c r="B11446" s="3"/>
    </row>
    <row r="11447" spans="2:2">
      <c r="B11447" s="3"/>
    </row>
    <row r="11448" spans="2:2">
      <c r="B11448" s="3"/>
    </row>
    <row r="11449" spans="2:2">
      <c r="B11449" s="3"/>
    </row>
    <row r="11450" spans="2:2">
      <c r="B11450" s="3"/>
    </row>
    <row r="11451" spans="2:2">
      <c r="B11451" s="3"/>
    </row>
    <row r="11452" spans="2:2">
      <c r="B11452" s="3"/>
    </row>
    <row r="11453" spans="2:2">
      <c r="B11453" s="3"/>
    </row>
    <row r="11454" spans="2:2">
      <c r="B11454" s="3"/>
    </row>
    <row r="11455" spans="2:2">
      <c r="B11455" s="3"/>
    </row>
    <row r="11456" spans="2:2">
      <c r="B11456" s="3"/>
    </row>
    <row r="11457" spans="2:2">
      <c r="B11457" s="3"/>
    </row>
    <row r="11458" spans="2:2">
      <c r="B11458" s="3"/>
    </row>
    <row r="11459" spans="2:2">
      <c r="B11459" s="3"/>
    </row>
    <row r="11460" spans="2:2">
      <c r="B11460" s="3"/>
    </row>
    <row r="11461" spans="2:2">
      <c r="B11461" s="3"/>
    </row>
    <row r="11462" spans="2:2">
      <c r="B11462" s="3"/>
    </row>
    <row r="11463" spans="2:2">
      <c r="B11463" s="3"/>
    </row>
    <row r="11464" spans="2:2">
      <c r="B11464" s="3"/>
    </row>
    <row r="11465" spans="2:2">
      <c r="B11465" s="3"/>
    </row>
    <row r="11466" spans="2:2">
      <c r="B11466" s="3"/>
    </row>
    <row r="11467" spans="2:2">
      <c r="B11467" s="3"/>
    </row>
    <row r="11468" spans="2:2">
      <c r="B11468" s="3"/>
    </row>
    <row r="11469" spans="2:2">
      <c r="B11469" s="3"/>
    </row>
    <row r="11470" spans="2:2">
      <c r="B11470" s="3"/>
    </row>
    <row r="11471" spans="2:2">
      <c r="B11471" s="3"/>
    </row>
    <row r="11472" spans="2:2">
      <c r="B11472" s="3"/>
    </row>
    <row r="11473" spans="2:2">
      <c r="B11473" s="3"/>
    </row>
    <row r="11474" spans="2:2">
      <c r="B11474" s="3"/>
    </row>
    <row r="11475" spans="2:2">
      <c r="B11475" s="3"/>
    </row>
    <row r="11476" spans="2:2">
      <c r="B11476" s="3"/>
    </row>
    <row r="11477" spans="2:2">
      <c r="B11477" s="3"/>
    </row>
    <row r="11478" spans="2:2">
      <c r="B11478" s="3"/>
    </row>
    <row r="11479" spans="2:2">
      <c r="B11479" s="3"/>
    </row>
    <row r="11480" spans="2:2">
      <c r="B11480" s="3"/>
    </row>
    <row r="11481" spans="2:2">
      <c r="B11481" s="3"/>
    </row>
    <row r="11482" spans="2:2">
      <c r="B11482" s="3"/>
    </row>
    <row r="11483" spans="2:2">
      <c r="B11483" s="3"/>
    </row>
    <row r="11484" spans="2:2">
      <c r="B11484" s="3"/>
    </row>
    <row r="11485" spans="2:2">
      <c r="B11485" s="3"/>
    </row>
    <row r="11486" spans="2:2">
      <c r="B11486" s="3"/>
    </row>
    <row r="11487" spans="2:2">
      <c r="B11487" s="3"/>
    </row>
    <row r="11488" spans="2:2">
      <c r="B11488" s="3"/>
    </row>
    <row r="11489" spans="2:2">
      <c r="B11489" s="3"/>
    </row>
    <row r="11490" spans="2:2">
      <c r="B11490" s="3"/>
    </row>
    <row r="11491" spans="2:2">
      <c r="B11491" s="3"/>
    </row>
    <row r="11492" spans="2:2">
      <c r="B11492" s="3"/>
    </row>
    <row r="11493" spans="2:2">
      <c r="B11493" s="3"/>
    </row>
    <row r="11494" spans="2:2">
      <c r="B11494" s="3"/>
    </row>
    <row r="11495" spans="2:2">
      <c r="B11495" s="3"/>
    </row>
    <row r="11496" spans="2:2">
      <c r="B11496" s="3"/>
    </row>
    <row r="11497" spans="2:2">
      <c r="B11497" s="3"/>
    </row>
    <row r="11498" spans="2:2">
      <c r="B11498" s="3"/>
    </row>
    <row r="11499" spans="2:2">
      <c r="B11499" s="3"/>
    </row>
    <row r="11500" spans="2:2">
      <c r="B11500" s="3"/>
    </row>
    <row r="11501" spans="2:2">
      <c r="B11501" s="3"/>
    </row>
    <row r="11502" spans="2:2">
      <c r="B11502" s="3"/>
    </row>
    <row r="11503" spans="2:2">
      <c r="B11503" s="3"/>
    </row>
    <row r="11504" spans="2:2">
      <c r="B11504" s="3"/>
    </row>
    <row r="11505" spans="2:2">
      <c r="B11505" s="3"/>
    </row>
    <row r="11506" spans="2:2">
      <c r="B11506" s="3"/>
    </row>
    <row r="11507" spans="2:2">
      <c r="B11507" s="3"/>
    </row>
    <row r="11508" spans="2:2">
      <c r="B11508" s="3"/>
    </row>
    <row r="11509" spans="2:2">
      <c r="B11509" s="3"/>
    </row>
    <row r="11510" spans="2:2">
      <c r="B11510" s="3"/>
    </row>
    <row r="11511" spans="2:2">
      <c r="B11511" s="3"/>
    </row>
    <row r="11512" spans="2:2">
      <c r="B11512" s="3"/>
    </row>
    <row r="11513" spans="2:2">
      <c r="B11513" s="3"/>
    </row>
    <row r="11514" spans="2:2">
      <c r="B11514" s="3"/>
    </row>
    <row r="11515" spans="2:2">
      <c r="B11515" s="3"/>
    </row>
    <row r="11516" spans="2:2">
      <c r="B11516" s="3"/>
    </row>
    <row r="11517" spans="2:2">
      <c r="B11517" s="3"/>
    </row>
    <row r="11518" spans="2:2">
      <c r="B11518" s="3"/>
    </row>
    <row r="11519" spans="2:2">
      <c r="B11519" s="3"/>
    </row>
    <row r="11520" spans="2:2">
      <c r="B11520" s="3"/>
    </row>
    <row r="11521" spans="2:2">
      <c r="B11521" s="3"/>
    </row>
    <row r="11522" spans="2:2">
      <c r="B11522" s="3"/>
    </row>
    <row r="11523" spans="2:2">
      <c r="B11523" s="3"/>
    </row>
    <row r="11524" spans="2:2">
      <c r="B11524" s="3"/>
    </row>
    <row r="11525" spans="2:2">
      <c r="B11525" s="3"/>
    </row>
    <row r="11526" spans="2:2">
      <c r="B11526" s="3"/>
    </row>
    <row r="11527" spans="2:2">
      <c r="B11527" s="3"/>
    </row>
    <row r="11528" spans="2:2">
      <c r="B11528" s="3"/>
    </row>
    <row r="11529" spans="2:2">
      <c r="B11529" s="3"/>
    </row>
    <row r="11530" spans="2:2">
      <c r="B11530" s="3"/>
    </row>
    <row r="11531" spans="2:2">
      <c r="B11531" s="3"/>
    </row>
    <row r="11532" spans="2:2">
      <c r="B11532" s="3"/>
    </row>
    <row r="11533" spans="2:2">
      <c r="B11533" s="3"/>
    </row>
    <row r="11534" spans="2:2">
      <c r="B11534" s="3"/>
    </row>
    <row r="11535" spans="2:2">
      <c r="B11535" s="3"/>
    </row>
    <row r="11536" spans="2:2">
      <c r="B11536" s="3"/>
    </row>
    <row r="11537" spans="2:2">
      <c r="B11537" s="3"/>
    </row>
    <row r="11538" spans="2:2">
      <c r="B11538" s="3"/>
    </row>
    <row r="11539" spans="2:2">
      <c r="B11539" s="3"/>
    </row>
    <row r="11540" spans="2:2">
      <c r="B11540" s="3"/>
    </row>
    <row r="11541" spans="2:2">
      <c r="B11541" s="3"/>
    </row>
    <row r="11542" spans="2:2">
      <c r="B11542" s="3"/>
    </row>
    <row r="11543" spans="2:2">
      <c r="B11543" s="3"/>
    </row>
    <row r="11544" spans="2:2">
      <c r="B11544" s="3"/>
    </row>
    <row r="11545" spans="2:2">
      <c r="B11545" s="3"/>
    </row>
    <row r="11546" spans="2:2">
      <c r="B11546" s="3"/>
    </row>
    <row r="11547" spans="2:2">
      <c r="B11547" s="3"/>
    </row>
    <row r="11548" spans="2:2">
      <c r="B11548" s="3"/>
    </row>
    <row r="11549" spans="2:2">
      <c r="B11549" s="3"/>
    </row>
    <row r="11550" spans="2:2">
      <c r="B11550" s="3"/>
    </row>
    <row r="11551" spans="2:2">
      <c r="B11551" s="3"/>
    </row>
    <row r="11552" spans="2:2">
      <c r="B11552" s="3"/>
    </row>
    <row r="11553" spans="2:2">
      <c r="B11553" s="3"/>
    </row>
    <row r="11554" spans="2:2">
      <c r="B11554" s="3"/>
    </row>
    <row r="11555" spans="2:2">
      <c r="B11555" s="3"/>
    </row>
    <row r="11556" spans="2:2">
      <c r="B11556" s="3"/>
    </row>
    <row r="11557" spans="2:2">
      <c r="B11557" s="3"/>
    </row>
    <row r="11558" spans="2:2">
      <c r="B11558" s="3"/>
    </row>
    <row r="11559" spans="2:2">
      <c r="B11559" s="3"/>
    </row>
    <row r="11560" spans="2:2">
      <c r="B11560" s="3"/>
    </row>
    <row r="11561" spans="2:2">
      <c r="B11561" s="3"/>
    </row>
    <row r="11562" spans="2:2">
      <c r="B11562" s="3"/>
    </row>
    <row r="11563" spans="2:2">
      <c r="B11563" s="3"/>
    </row>
    <row r="11564" spans="2:2">
      <c r="B11564" s="3"/>
    </row>
    <row r="11565" spans="2:2">
      <c r="B11565" s="3"/>
    </row>
    <row r="11566" spans="2:2">
      <c r="B11566" s="3"/>
    </row>
    <row r="11567" spans="2:2">
      <c r="B11567" s="3"/>
    </row>
    <row r="11568" spans="2:2">
      <c r="B11568" s="3"/>
    </row>
    <row r="11569" spans="2:2">
      <c r="B11569" s="3"/>
    </row>
    <row r="11570" spans="2:2">
      <c r="B11570" s="3"/>
    </row>
    <row r="11571" spans="2:2">
      <c r="B11571" s="3"/>
    </row>
    <row r="11572" spans="2:2">
      <c r="B11572" s="3"/>
    </row>
    <row r="11573" spans="2:2">
      <c r="B11573" s="3"/>
    </row>
    <row r="11574" spans="2:2">
      <c r="B11574" s="3"/>
    </row>
    <row r="11575" spans="2:2">
      <c r="B11575" s="3"/>
    </row>
    <row r="11576" spans="2:2">
      <c r="B11576" s="3"/>
    </row>
    <row r="11577" spans="2:2">
      <c r="B11577" s="3"/>
    </row>
    <row r="11578" spans="2:2">
      <c r="B11578" s="3"/>
    </row>
    <row r="11579" spans="2:2">
      <c r="B11579" s="3"/>
    </row>
    <row r="11580" spans="2:2">
      <c r="B11580" s="3"/>
    </row>
    <row r="11581" spans="2:2">
      <c r="B11581" s="3"/>
    </row>
    <row r="11582" spans="2:2">
      <c r="B11582" s="3"/>
    </row>
    <row r="11583" spans="2:2">
      <c r="B11583" s="3"/>
    </row>
    <row r="11584" spans="2:2">
      <c r="B11584" s="3"/>
    </row>
    <row r="11585" spans="2:2">
      <c r="B11585" s="3"/>
    </row>
    <row r="11586" spans="2:2">
      <c r="B11586" s="3"/>
    </row>
    <row r="11587" spans="2:2">
      <c r="B11587" s="3"/>
    </row>
    <row r="11588" spans="2:2">
      <c r="B11588" s="3"/>
    </row>
    <row r="11589" spans="2:2">
      <c r="B11589" s="3"/>
    </row>
    <row r="11590" spans="2:2">
      <c r="B11590" s="3"/>
    </row>
    <row r="11591" spans="2:2">
      <c r="B11591" s="3"/>
    </row>
    <row r="11592" spans="2:2">
      <c r="B11592" s="3"/>
    </row>
    <row r="11593" spans="2:2">
      <c r="B11593" s="3"/>
    </row>
    <row r="11594" spans="2:2">
      <c r="B11594" s="3"/>
    </row>
    <row r="11595" spans="2:2">
      <c r="B11595" s="3"/>
    </row>
    <row r="11596" spans="2:2">
      <c r="B11596" s="3"/>
    </row>
    <row r="11597" spans="2:2">
      <c r="B11597" s="3"/>
    </row>
    <row r="11598" spans="2:2">
      <c r="B11598" s="3"/>
    </row>
    <row r="11599" spans="2:2">
      <c r="B11599" s="3"/>
    </row>
    <row r="11600" spans="2:2">
      <c r="B11600" s="3"/>
    </row>
    <row r="11601" spans="2:2">
      <c r="B11601" s="3"/>
    </row>
    <row r="11602" spans="2:2">
      <c r="B11602" s="3"/>
    </row>
    <row r="11603" spans="2:2">
      <c r="B11603" s="3"/>
    </row>
    <row r="11604" spans="2:2">
      <c r="B11604" s="3"/>
    </row>
    <row r="11605" spans="2:2">
      <c r="B11605" s="3"/>
    </row>
    <row r="11606" spans="2:2">
      <c r="B11606" s="3"/>
    </row>
    <row r="11607" spans="2:2">
      <c r="B11607" s="3"/>
    </row>
    <row r="11608" spans="2:2">
      <c r="B11608" s="3"/>
    </row>
    <row r="11609" spans="2:2">
      <c r="B11609" s="3"/>
    </row>
    <row r="11610" spans="2:2">
      <c r="B11610" s="3"/>
    </row>
    <row r="11611" spans="2:2">
      <c r="B11611" s="3"/>
    </row>
    <row r="11612" spans="2:2">
      <c r="B11612" s="3"/>
    </row>
    <row r="11613" spans="2:2">
      <c r="B11613" s="3"/>
    </row>
    <row r="11614" spans="2:2">
      <c r="B11614" s="3"/>
    </row>
    <row r="11615" spans="2:2">
      <c r="B11615" s="3"/>
    </row>
    <row r="11616" spans="2:2">
      <c r="B11616" s="3"/>
    </row>
    <row r="11617" spans="2:2">
      <c r="B11617" s="3"/>
    </row>
    <row r="11618" spans="2:2">
      <c r="B11618" s="3"/>
    </row>
    <row r="11619" spans="2:2">
      <c r="B11619" s="3"/>
    </row>
    <row r="11620" spans="2:2">
      <c r="B11620" s="3"/>
    </row>
    <row r="11621" spans="2:2">
      <c r="B11621" s="3"/>
    </row>
    <row r="11622" spans="2:2">
      <c r="B11622" s="3"/>
    </row>
    <row r="11623" spans="2:2">
      <c r="B11623" s="3"/>
    </row>
    <row r="11624" spans="2:2">
      <c r="B11624" s="3"/>
    </row>
    <row r="11625" spans="2:2">
      <c r="B11625" s="3"/>
    </row>
    <row r="11626" spans="2:2">
      <c r="B11626" s="3"/>
    </row>
    <row r="11627" spans="2:2">
      <c r="B11627" s="3"/>
    </row>
    <row r="11628" spans="2:2">
      <c r="B11628" s="3"/>
    </row>
    <row r="11629" spans="2:2">
      <c r="B11629" s="3"/>
    </row>
    <row r="11630" spans="2:2">
      <c r="B11630" s="3"/>
    </row>
    <row r="11631" spans="2:2">
      <c r="B11631" s="3"/>
    </row>
    <row r="11632" spans="2:2">
      <c r="B11632" s="3"/>
    </row>
    <row r="11633" spans="2:2">
      <c r="B11633" s="3"/>
    </row>
    <row r="11634" spans="2:2">
      <c r="B11634" s="3"/>
    </row>
    <row r="11635" spans="2:2">
      <c r="B11635" s="3"/>
    </row>
    <row r="11636" spans="2:2">
      <c r="B11636" s="3"/>
    </row>
    <row r="11637" spans="2:2">
      <c r="B11637" s="3"/>
    </row>
    <row r="11638" spans="2:2">
      <c r="B11638" s="3"/>
    </row>
    <row r="11639" spans="2:2">
      <c r="B11639" s="3"/>
    </row>
    <row r="11640" spans="2:2">
      <c r="B11640" s="3"/>
    </row>
    <row r="11641" spans="2:2">
      <c r="B11641" s="3"/>
    </row>
    <row r="11642" spans="2:2">
      <c r="B11642" s="3"/>
    </row>
    <row r="11643" spans="2:2">
      <c r="B11643" s="3"/>
    </row>
    <row r="11644" spans="2:2">
      <c r="B11644" s="3"/>
    </row>
    <row r="11645" spans="2:2">
      <c r="B11645" s="3"/>
    </row>
    <row r="11646" spans="2:2">
      <c r="B11646" s="3"/>
    </row>
    <row r="11647" spans="2:2">
      <c r="B11647" s="3"/>
    </row>
    <row r="11648" spans="2:2">
      <c r="B11648" s="3"/>
    </row>
    <row r="11649" spans="2:2">
      <c r="B11649" s="3"/>
    </row>
    <row r="11650" spans="2:2">
      <c r="B11650" s="3"/>
    </row>
    <row r="11651" spans="2:2">
      <c r="B11651" s="3"/>
    </row>
    <row r="11652" spans="2:2">
      <c r="B11652" s="3"/>
    </row>
    <row r="11653" spans="2:2">
      <c r="B11653" s="3"/>
    </row>
    <row r="11654" spans="2:2">
      <c r="B11654" s="3"/>
    </row>
    <row r="11655" spans="2:2">
      <c r="B11655" s="3"/>
    </row>
    <row r="11656" spans="2:2">
      <c r="B11656" s="3"/>
    </row>
    <row r="11657" spans="2:2">
      <c r="B11657" s="3"/>
    </row>
    <row r="11658" spans="2:2">
      <c r="B11658" s="3"/>
    </row>
    <row r="11659" spans="2:2">
      <c r="B11659" s="3"/>
    </row>
    <row r="11660" spans="2:2">
      <c r="B11660" s="3"/>
    </row>
    <row r="11661" spans="2:2">
      <c r="B11661" s="3"/>
    </row>
    <row r="11662" spans="2:2">
      <c r="B11662" s="3"/>
    </row>
    <row r="11663" spans="2:2">
      <c r="B11663" s="3"/>
    </row>
    <row r="11664" spans="2:2">
      <c r="B11664" s="3"/>
    </row>
    <row r="11665" spans="2:2">
      <c r="B11665" s="3"/>
    </row>
    <row r="11666" spans="2:2">
      <c r="B11666" s="3"/>
    </row>
    <row r="11667" spans="2:2">
      <c r="B11667" s="3"/>
    </row>
    <row r="11668" spans="2:2">
      <c r="B11668" s="3"/>
    </row>
    <row r="11669" spans="2:2">
      <c r="B11669" s="3"/>
    </row>
    <row r="11670" spans="2:2">
      <c r="B11670" s="3"/>
    </row>
    <row r="11671" spans="2:2">
      <c r="B11671" s="3"/>
    </row>
    <row r="11672" spans="2:2">
      <c r="B11672" s="3"/>
    </row>
    <row r="11673" spans="2:2">
      <c r="B11673" s="3"/>
    </row>
    <row r="11674" spans="2:2">
      <c r="B11674" s="3"/>
    </row>
    <row r="11675" spans="2:2">
      <c r="B11675" s="3"/>
    </row>
    <row r="11676" spans="2:2">
      <c r="B11676" s="3"/>
    </row>
    <row r="11677" spans="2:2">
      <c r="B11677" s="3"/>
    </row>
    <row r="11678" spans="2:2">
      <c r="B11678" s="3"/>
    </row>
    <row r="11679" spans="2:2">
      <c r="B11679" s="3"/>
    </row>
    <row r="11680" spans="2:2">
      <c r="B11680" s="3"/>
    </row>
    <row r="11681" spans="2:2">
      <c r="B11681" s="3"/>
    </row>
    <row r="11682" spans="2:2">
      <c r="B11682" s="3"/>
    </row>
    <row r="11683" spans="2:2">
      <c r="B11683" s="3"/>
    </row>
    <row r="11684" spans="2:2">
      <c r="B11684" s="3"/>
    </row>
    <row r="11685" spans="2:2">
      <c r="B11685" s="3"/>
    </row>
    <row r="11686" spans="2:2">
      <c r="B11686" s="3"/>
    </row>
    <row r="11687" spans="2:2">
      <c r="B11687" s="3"/>
    </row>
    <row r="11688" spans="2:2">
      <c r="B11688" s="3"/>
    </row>
    <row r="11689" spans="2:2">
      <c r="B11689" s="3"/>
    </row>
    <row r="11690" spans="2:2">
      <c r="B11690" s="3"/>
    </row>
    <row r="11691" spans="2:2">
      <c r="B11691" s="3"/>
    </row>
    <row r="11692" spans="2:2">
      <c r="B11692" s="3"/>
    </row>
    <row r="11693" spans="2:2">
      <c r="B11693" s="3"/>
    </row>
    <row r="11694" spans="2:2">
      <c r="B11694" s="3"/>
    </row>
    <row r="11695" spans="2:2">
      <c r="B11695" s="3"/>
    </row>
    <row r="11696" spans="2:2">
      <c r="B11696" s="3"/>
    </row>
    <row r="11697" spans="2:2">
      <c r="B11697" s="3"/>
    </row>
    <row r="11698" spans="2:2">
      <c r="B11698" s="3"/>
    </row>
    <row r="11699" spans="2:2">
      <c r="B11699" s="3"/>
    </row>
    <row r="11700" spans="2:2">
      <c r="B11700" s="3"/>
    </row>
    <row r="11701" spans="2:2">
      <c r="B11701" s="3"/>
    </row>
    <row r="11702" spans="2:2">
      <c r="B11702" s="3"/>
    </row>
    <row r="11703" spans="2:2">
      <c r="B11703" s="3"/>
    </row>
    <row r="11704" spans="2:2">
      <c r="B11704" s="3"/>
    </row>
    <row r="11705" spans="2:2">
      <c r="B11705" s="3"/>
    </row>
    <row r="11706" spans="2:2">
      <c r="B11706" s="3"/>
    </row>
    <row r="11707" spans="2:2">
      <c r="B11707" s="3"/>
    </row>
    <row r="11708" spans="2:2">
      <c r="B11708" s="3"/>
    </row>
    <row r="11709" spans="2:2">
      <c r="B11709" s="3"/>
    </row>
    <row r="11710" spans="2:2">
      <c r="B11710" s="3"/>
    </row>
    <row r="11711" spans="2:2">
      <c r="B11711" s="3"/>
    </row>
    <row r="11712" spans="2:2">
      <c r="B11712" s="3"/>
    </row>
    <row r="11713" spans="2:2">
      <c r="B11713" s="3"/>
    </row>
    <row r="11714" spans="2:2">
      <c r="B11714" s="3"/>
    </row>
    <row r="11715" spans="2:2">
      <c r="B11715" s="3"/>
    </row>
    <row r="11716" spans="2:2">
      <c r="B11716" s="3"/>
    </row>
    <row r="11717" spans="2:2">
      <c r="B11717" s="3"/>
    </row>
    <row r="11718" spans="2:2">
      <c r="B11718" s="3"/>
    </row>
    <row r="11719" spans="2:2">
      <c r="B11719" s="3"/>
    </row>
    <row r="11720" spans="2:2">
      <c r="B11720" s="3"/>
    </row>
    <row r="11721" spans="2:2">
      <c r="B11721" s="3"/>
    </row>
    <row r="11722" spans="2:2">
      <c r="B11722" s="3"/>
    </row>
    <row r="11723" spans="2:2">
      <c r="B11723" s="3"/>
    </row>
    <row r="11724" spans="2:2">
      <c r="B11724" s="3"/>
    </row>
    <row r="11725" spans="2:2">
      <c r="B11725" s="3"/>
    </row>
    <row r="11726" spans="2:2">
      <c r="B11726" s="3"/>
    </row>
    <row r="11727" spans="2:2">
      <c r="B11727" s="3"/>
    </row>
    <row r="11728" spans="2:2">
      <c r="B11728" s="3"/>
    </row>
    <row r="11729" spans="2:2">
      <c r="B11729" s="3"/>
    </row>
    <row r="11730" spans="2:2">
      <c r="B11730" s="3"/>
    </row>
    <row r="11731" spans="2:2">
      <c r="B11731" s="3"/>
    </row>
    <row r="11732" spans="2:2">
      <c r="B11732" s="3"/>
    </row>
    <row r="11733" spans="2:2">
      <c r="B11733" s="3"/>
    </row>
    <row r="11734" spans="2:2">
      <c r="B11734" s="3"/>
    </row>
    <row r="11735" spans="2:2">
      <c r="B11735" s="3"/>
    </row>
    <row r="11736" spans="2:2">
      <c r="B11736" s="3"/>
    </row>
    <row r="11737" spans="2:2">
      <c r="B11737" s="3"/>
    </row>
    <row r="11738" spans="2:2">
      <c r="B11738" s="3"/>
    </row>
    <row r="11739" spans="2:2">
      <c r="B11739" s="3"/>
    </row>
    <row r="11740" spans="2:2">
      <c r="B11740" s="3"/>
    </row>
    <row r="11741" spans="2:2">
      <c r="B11741" s="3"/>
    </row>
    <row r="11742" spans="2:2">
      <c r="B11742" s="3"/>
    </row>
    <row r="11743" spans="2:2">
      <c r="B11743" s="3"/>
    </row>
    <row r="11744" spans="2:2">
      <c r="B11744" s="3"/>
    </row>
    <row r="11745" spans="2:2">
      <c r="B11745" s="3"/>
    </row>
    <row r="11746" spans="2:2">
      <c r="B11746" s="3"/>
    </row>
    <row r="11747" spans="2:2">
      <c r="B11747" s="3"/>
    </row>
    <row r="11748" spans="2:2">
      <c r="B11748" s="3"/>
    </row>
    <row r="11749" spans="2:2">
      <c r="B11749" s="3"/>
    </row>
    <row r="11750" spans="2:2">
      <c r="B11750" s="3"/>
    </row>
    <row r="11751" spans="2:2">
      <c r="B11751" s="3"/>
    </row>
    <row r="11752" spans="2:2">
      <c r="B11752" s="3"/>
    </row>
    <row r="11753" spans="2:2">
      <c r="B11753" s="3"/>
    </row>
    <row r="11754" spans="2:2">
      <c r="B11754" s="3"/>
    </row>
    <row r="11755" spans="2:2">
      <c r="B11755" s="3"/>
    </row>
    <row r="11756" spans="2:2">
      <c r="B11756" s="3"/>
    </row>
    <row r="11757" spans="2:2">
      <c r="B11757" s="3"/>
    </row>
    <row r="11758" spans="2:2">
      <c r="B11758" s="3"/>
    </row>
    <row r="11759" spans="2:2">
      <c r="B11759" s="3"/>
    </row>
    <row r="11760" spans="2:2">
      <c r="B11760" s="3"/>
    </row>
    <row r="11761" spans="2:2">
      <c r="B11761" s="3"/>
    </row>
    <row r="11762" spans="2:2">
      <c r="B11762" s="3"/>
    </row>
    <row r="11763" spans="2:2">
      <c r="B11763" s="3"/>
    </row>
    <row r="11764" spans="2:2">
      <c r="B11764" s="3"/>
    </row>
    <row r="11765" spans="2:2">
      <c r="B11765" s="3"/>
    </row>
    <row r="11766" spans="2:2">
      <c r="B11766" s="3"/>
    </row>
    <row r="11767" spans="2:2">
      <c r="B11767" s="3"/>
    </row>
    <row r="11768" spans="2:2">
      <c r="B11768" s="3"/>
    </row>
    <row r="11769" spans="2:2">
      <c r="B11769" s="3"/>
    </row>
    <row r="11770" spans="2:2">
      <c r="B11770" s="3"/>
    </row>
    <row r="11771" spans="2:2">
      <c r="B11771" s="3"/>
    </row>
    <row r="11772" spans="2:2">
      <c r="B11772" s="3"/>
    </row>
    <row r="11773" spans="2:2">
      <c r="B11773" s="3"/>
    </row>
    <row r="11774" spans="2:2">
      <c r="B11774" s="3"/>
    </row>
    <row r="11775" spans="2:2">
      <c r="B11775" s="3"/>
    </row>
    <row r="11776" spans="2:2">
      <c r="B11776" s="3"/>
    </row>
    <row r="11777" spans="2:2">
      <c r="B11777" s="3"/>
    </row>
    <row r="11778" spans="2:2">
      <c r="B11778" s="3"/>
    </row>
    <row r="11779" spans="2:2">
      <c r="B11779" s="3"/>
    </row>
    <row r="11780" spans="2:2">
      <c r="B11780" s="3"/>
    </row>
    <row r="11781" spans="2:2">
      <c r="B11781" s="3"/>
    </row>
    <row r="11782" spans="2:2">
      <c r="B11782" s="3"/>
    </row>
    <row r="11783" spans="2:2">
      <c r="B11783" s="3"/>
    </row>
    <row r="11784" spans="2:2">
      <c r="B11784" s="3"/>
    </row>
    <row r="11785" spans="2:2">
      <c r="B11785" s="3"/>
    </row>
    <row r="11786" spans="2:2">
      <c r="B11786" s="3"/>
    </row>
    <row r="11787" spans="2:2">
      <c r="B11787" s="3"/>
    </row>
    <row r="11788" spans="2:2">
      <c r="B11788" s="3"/>
    </row>
    <row r="11789" spans="2:2">
      <c r="B11789" s="3"/>
    </row>
    <row r="11790" spans="2:2">
      <c r="B11790" s="3"/>
    </row>
    <row r="11791" spans="2:2">
      <c r="B11791" s="3"/>
    </row>
    <row r="11792" spans="2:2">
      <c r="B11792" s="3"/>
    </row>
    <row r="11793" spans="2:2">
      <c r="B11793" s="3"/>
    </row>
    <row r="11794" spans="2:2">
      <c r="B11794" s="3"/>
    </row>
    <row r="11795" spans="2:2">
      <c r="B11795" s="3"/>
    </row>
    <row r="11796" spans="2:2">
      <c r="B11796" s="3"/>
    </row>
    <row r="11797" spans="2:2">
      <c r="B11797" s="3"/>
    </row>
    <row r="11798" spans="2:2">
      <c r="B11798" s="3"/>
    </row>
    <row r="11799" spans="2:2">
      <c r="B11799" s="3"/>
    </row>
    <row r="11800" spans="2:2">
      <c r="B11800" s="3"/>
    </row>
    <row r="11801" spans="2:2">
      <c r="B11801" s="3"/>
    </row>
    <row r="11802" spans="2:2">
      <c r="B11802" s="3"/>
    </row>
    <row r="11803" spans="2:2">
      <c r="B11803" s="3"/>
    </row>
    <row r="11804" spans="2:2">
      <c r="B11804" s="3"/>
    </row>
    <row r="11805" spans="2:2">
      <c r="B11805" s="3"/>
    </row>
    <row r="11806" spans="2:2">
      <c r="B11806" s="3"/>
    </row>
    <row r="11807" spans="2:2">
      <c r="B11807" s="3"/>
    </row>
    <row r="11808" spans="2:2">
      <c r="B11808" s="3"/>
    </row>
    <row r="11809" spans="2:2">
      <c r="B11809" s="3"/>
    </row>
    <row r="11810" spans="2:2">
      <c r="B11810" s="3"/>
    </row>
    <row r="11811" spans="2:2">
      <c r="B11811" s="3"/>
    </row>
    <row r="11812" spans="2:2">
      <c r="B11812" s="3"/>
    </row>
    <row r="11813" spans="2:2">
      <c r="B11813" s="3"/>
    </row>
    <row r="11814" spans="2:2">
      <c r="B11814" s="3"/>
    </row>
    <row r="11815" spans="2:2">
      <c r="B11815" s="3"/>
    </row>
    <row r="11816" spans="2:2">
      <c r="B11816" s="3"/>
    </row>
    <row r="11817" spans="2:2">
      <c r="B11817" s="3"/>
    </row>
    <row r="11818" spans="2:2">
      <c r="B11818" s="3"/>
    </row>
    <row r="11819" spans="2:2">
      <c r="B11819" s="3"/>
    </row>
    <row r="11820" spans="2:2">
      <c r="B11820" s="3"/>
    </row>
    <row r="11821" spans="2:2">
      <c r="B11821" s="3"/>
    </row>
    <row r="11822" spans="2:2">
      <c r="B11822" s="3"/>
    </row>
    <row r="11823" spans="2:2">
      <c r="B11823" s="3"/>
    </row>
    <row r="11824" spans="2:2">
      <c r="B11824" s="3"/>
    </row>
    <row r="11825" spans="2:2">
      <c r="B11825" s="3"/>
    </row>
    <row r="11826" spans="2:2">
      <c r="B11826" s="3"/>
    </row>
    <row r="11827" spans="2:2">
      <c r="B11827" s="3"/>
    </row>
    <row r="11828" spans="2:2">
      <c r="B11828" s="3"/>
    </row>
    <row r="11829" spans="2:2">
      <c r="B11829" s="3"/>
    </row>
    <row r="11830" spans="2:2">
      <c r="B11830" s="3"/>
    </row>
    <row r="11831" spans="2:2">
      <c r="B11831" s="3"/>
    </row>
    <row r="11832" spans="2:2">
      <c r="B11832" s="3"/>
    </row>
    <row r="11833" spans="2:2">
      <c r="B11833" s="3"/>
    </row>
    <row r="11834" spans="2:2">
      <c r="B11834" s="3"/>
    </row>
    <row r="11835" spans="2:2">
      <c r="B11835" s="3"/>
    </row>
    <row r="11836" spans="2:2">
      <c r="B11836" s="3"/>
    </row>
    <row r="11837" spans="2:2">
      <c r="B11837" s="3"/>
    </row>
    <row r="11838" spans="2:2">
      <c r="B11838" s="3"/>
    </row>
    <row r="11839" spans="2:2">
      <c r="B11839" s="3"/>
    </row>
    <row r="11840" spans="2:2">
      <c r="B11840" s="3"/>
    </row>
    <row r="11841" spans="2:2">
      <c r="B11841" s="3"/>
    </row>
    <row r="11842" spans="2:2">
      <c r="B11842" s="3"/>
    </row>
    <row r="11843" spans="2:2">
      <c r="B11843" s="3"/>
    </row>
    <row r="11844" spans="2:2">
      <c r="B11844" s="3"/>
    </row>
    <row r="11845" spans="2:2">
      <c r="B11845" s="3"/>
    </row>
    <row r="11846" spans="2:2">
      <c r="B11846" s="3"/>
    </row>
    <row r="11847" spans="2:2">
      <c r="B11847" s="3"/>
    </row>
    <row r="11848" spans="2:2">
      <c r="B11848" s="3"/>
    </row>
    <row r="11849" spans="2:2">
      <c r="B11849" s="3"/>
    </row>
    <row r="11850" spans="2:2">
      <c r="B11850" s="3"/>
    </row>
    <row r="11851" spans="2:2">
      <c r="B11851" s="3"/>
    </row>
    <row r="11852" spans="2:2">
      <c r="B11852" s="3"/>
    </row>
    <row r="11853" spans="2:2">
      <c r="B11853" s="3"/>
    </row>
    <row r="11854" spans="2:2">
      <c r="B11854" s="3"/>
    </row>
    <row r="11855" spans="2:2">
      <c r="B11855" s="3"/>
    </row>
    <row r="11856" spans="2:2">
      <c r="B11856" s="3"/>
    </row>
    <row r="11857" spans="2:2">
      <c r="B11857" s="3"/>
    </row>
    <row r="11858" spans="2:2">
      <c r="B11858" s="3"/>
    </row>
    <row r="11859" spans="2:2">
      <c r="B11859" s="3"/>
    </row>
    <row r="11860" spans="2:2">
      <c r="B11860" s="3"/>
    </row>
    <row r="11861" spans="2:2">
      <c r="B11861" s="3"/>
    </row>
    <row r="11862" spans="2:2">
      <c r="B11862" s="3"/>
    </row>
    <row r="11863" spans="2:2">
      <c r="B11863" s="3"/>
    </row>
    <row r="11864" spans="2:2">
      <c r="B11864" s="3"/>
    </row>
    <row r="11865" spans="2:2">
      <c r="B11865" s="3"/>
    </row>
    <row r="11866" spans="2:2">
      <c r="B11866" s="3"/>
    </row>
    <row r="11867" spans="2:2">
      <c r="B11867" s="3"/>
    </row>
    <row r="11868" spans="2:2">
      <c r="B11868" s="3"/>
    </row>
    <row r="11869" spans="2:2">
      <c r="B11869" s="3"/>
    </row>
    <row r="11870" spans="2:2">
      <c r="B11870" s="3"/>
    </row>
    <row r="11871" spans="2:2">
      <c r="B11871" s="3"/>
    </row>
    <row r="11872" spans="2:2">
      <c r="B11872" s="3"/>
    </row>
    <row r="11873" spans="2:2">
      <c r="B11873" s="3"/>
    </row>
    <row r="11874" spans="2:2">
      <c r="B11874" s="3"/>
    </row>
    <row r="11875" spans="2:2">
      <c r="B11875" s="3"/>
    </row>
    <row r="11876" spans="2:2">
      <c r="B11876" s="3"/>
    </row>
    <row r="11877" spans="2:2">
      <c r="B11877" s="3"/>
    </row>
    <row r="11878" spans="2:2">
      <c r="B11878" s="3"/>
    </row>
    <row r="11879" spans="2:2">
      <c r="B11879" s="3"/>
    </row>
    <row r="11880" spans="2:2">
      <c r="B11880" s="3"/>
    </row>
    <row r="11881" spans="2:2">
      <c r="B11881" s="3"/>
    </row>
    <row r="11882" spans="2:2">
      <c r="B11882" s="3"/>
    </row>
    <row r="11883" spans="2:2">
      <c r="B11883" s="3"/>
    </row>
    <row r="11884" spans="2:2">
      <c r="B11884" s="3"/>
    </row>
    <row r="11885" spans="2:2">
      <c r="B11885" s="3"/>
    </row>
    <row r="11886" spans="2:2">
      <c r="B11886" s="3"/>
    </row>
    <row r="11887" spans="2:2">
      <c r="B11887" s="3"/>
    </row>
    <row r="11888" spans="2:2">
      <c r="B11888" s="3"/>
    </row>
    <row r="11889" spans="2:2">
      <c r="B11889" s="3"/>
    </row>
    <row r="11890" spans="2:2">
      <c r="B11890" s="3"/>
    </row>
    <row r="11891" spans="2:2">
      <c r="B11891" s="3"/>
    </row>
    <row r="11892" spans="2:2">
      <c r="B11892" s="3"/>
    </row>
    <row r="11893" spans="2:2">
      <c r="B11893" s="3"/>
    </row>
    <row r="11894" spans="2:2">
      <c r="B11894" s="3"/>
    </row>
    <row r="11895" spans="2:2">
      <c r="B11895" s="3"/>
    </row>
    <row r="11896" spans="2:2">
      <c r="B11896" s="3"/>
    </row>
    <row r="11897" spans="2:2">
      <c r="B11897" s="3"/>
    </row>
    <row r="11898" spans="2:2">
      <c r="B11898" s="3"/>
    </row>
    <row r="11899" spans="2:2">
      <c r="B11899" s="3"/>
    </row>
    <row r="11900" spans="2:2">
      <c r="B11900" s="3"/>
    </row>
    <row r="11901" spans="2:2">
      <c r="B11901" s="3"/>
    </row>
    <row r="11902" spans="2:2">
      <c r="B11902" s="3"/>
    </row>
    <row r="11903" spans="2:2">
      <c r="B11903" s="3"/>
    </row>
    <row r="11904" spans="2:2">
      <c r="B11904" s="3"/>
    </row>
    <row r="11905" spans="2:2">
      <c r="B11905" s="3"/>
    </row>
    <row r="11906" spans="2:2">
      <c r="B11906" s="3"/>
    </row>
    <row r="11907" spans="2:2">
      <c r="B11907" s="3"/>
    </row>
    <row r="11908" spans="2:2">
      <c r="B11908" s="3"/>
    </row>
    <row r="11909" spans="2:2">
      <c r="B11909" s="3"/>
    </row>
    <row r="11910" spans="2:2">
      <c r="B11910" s="3"/>
    </row>
    <row r="11911" spans="2:2">
      <c r="B11911" s="3"/>
    </row>
    <row r="11912" spans="2:2">
      <c r="B11912" s="3"/>
    </row>
    <row r="11913" spans="2:2">
      <c r="B11913" s="3"/>
    </row>
    <row r="11914" spans="2:2">
      <c r="B11914" s="3"/>
    </row>
    <row r="11915" spans="2:2">
      <c r="B11915" s="3"/>
    </row>
    <row r="11916" spans="2:2">
      <c r="B11916" s="3"/>
    </row>
    <row r="11917" spans="2:2">
      <c r="B11917" s="3"/>
    </row>
    <row r="11918" spans="2:2">
      <c r="B11918" s="3"/>
    </row>
    <row r="11919" spans="2:2">
      <c r="B11919" s="3"/>
    </row>
    <row r="11920" spans="2:2">
      <c r="B11920" s="3"/>
    </row>
    <row r="11921" spans="2:2">
      <c r="B11921" s="3"/>
    </row>
    <row r="11922" spans="2:2">
      <c r="B11922" s="3"/>
    </row>
    <row r="11923" spans="2:2">
      <c r="B11923" s="3"/>
    </row>
    <row r="11924" spans="2:2">
      <c r="B11924" s="3"/>
    </row>
    <row r="11925" spans="2:2">
      <c r="B11925" s="3"/>
    </row>
    <row r="11926" spans="2:2">
      <c r="B11926" s="3"/>
    </row>
    <row r="11927" spans="2:2">
      <c r="B11927" s="3"/>
    </row>
    <row r="11928" spans="2:2">
      <c r="B11928" s="3"/>
    </row>
    <row r="11929" spans="2:2">
      <c r="B11929" s="3"/>
    </row>
    <row r="11930" spans="2:2">
      <c r="B11930" s="3"/>
    </row>
    <row r="11931" spans="2:2">
      <c r="B11931" s="3"/>
    </row>
    <row r="11932" spans="2:2">
      <c r="B11932" s="3"/>
    </row>
    <row r="11933" spans="2:2">
      <c r="B11933" s="3"/>
    </row>
    <row r="11934" spans="2:2">
      <c r="B11934" s="3"/>
    </row>
    <row r="11935" spans="2:2">
      <c r="B11935" s="3"/>
    </row>
    <row r="11936" spans="2:2">
      <c r="B11936" s="3"/>
    </row>
    <row r="11937" spans="2:2">
      <c r="B11937" s="3"/>
    </row>
    <row r="11938" spans="2:2">
      <c r="B11938" s="3"/>
    </row>
    <row r="11939" spans="2:2">
      <c r="B11939" s="3"/>
    </row>
    <row r="11940" spans="2:2">
      <c r="B11940" s="3"/>
    </row>
    <row r="11941" spans="2:2">
      <c r="B11941" s="3"/>
    </row>
    <row r="11942" spans="2:2">
      <c r="B11942" s="3"/>
    </row>
    <row r="11943" spans="2:2">
      <c r="B11943" s="3"/>
    </row>
    <row r="11944" spans="2:2">
      <c r="B11944" s="3"/>
    </row>
    <row r="11945" spans="2:2">
      <c r="B11945" s="3"/>
    </row>
    <row r="11946" spans="2:2">
      <c r="B11946" s="3"/>
    </row>
    <row r="11947" spans="2:2">
      <c r="B11947" s="3"/>
    </row>
    <row r="11948" spans="2:2">
      <c r="B11948" s="3"/>
    </row>
    <row r="11949" spans="2:2">
      <c r="B11949" s="3"/>
    </row>
    <row r="11950" spans="2:2">
      <c r="B11950" s="3"/>
    </row>
    <row r="11951" spans="2:2">
      <c r="B11951" s="3"/>
    </row>
    <row r="11952" spans="2:2">
      <c r="B11952" s="3"/>
    </row>
    <row r="11953" spans="2:2">
      <c r="B11953" s="3"/>
    </row>
    <row r="11954" spans="2:2">
      <c r="B11954" s="3"/>
    </row>
    <row r="11955" spans="2:2">
      <c r="B11955" s="3"/>
    </row>
    <row r="11956" spans="2:2">
      <c r="B11956" s="3"/>
    </row>
    <row r="11957" spans="2:2">
      <c r="B11957" s="3"/>
    </row>
    <row r="11958" spans="2:2">
      <c r="B11958" s="3"/>
    </row>
    <row r="11959" spans="2:2">
      <c r="B11959" s="3"/>
    </row>
    <row r="11960" spans="2:2">
      <c r="B11960" s="3"/>
    </row>
    <row r="11961" spans="2:2">
      <c r="B11961" s="3"/>
    </row>
    <row r="11962" spans="2:2">
      <c r="B11962" s="3"/>
    </row>
    <row r="11963" spans="2:2">
      <c r="B11963" s="3"/>
    </row>
    <row r="11964" spans="2:2">
      <c r="B11964" s="3"/>
    </row>
    <row r="11965" spans="2:2">
      <c r="B11965" s="3"/>
    </row>
    <row r="11966" spans="2:2">
      <c r="B11966" s="3"/>
    </row>
    <row r="11967" spans="2:2">
      <c r="B11967" s="3"/>
    </row>
    <row r="11968" spans="2:2">
      <c r="B11968" s="3"/>
    </row>
    <row r="11969" spans="2:2">
      <c r="B11969" s="3"/>
    </row>
    <row r="11970" spans="2:2">
      <c r="B11970" s="3"/>
    </row>
    <row r="11971" spans="2:2">
      <c r="B11971" s="3"/>
    </row>
    <row r="11972" spans="2:2">
      <c r="B11972" s="3"/>
    </row>
    <row r="11973" spans="2:2">
      <c r="B11973" s="3"/>
    </row>
    <row r="11974" spans="2:2">
      <c r="B11974" s="3"/>
    </row>
    <row r="11975" spans="2:2">
      <c r="B11975" s="3"/>
    </row>
    <row r="11976" spans="2:2">
      <c r="B11976" s="3"/>
    </row>
    <row r="11977" spans="2:2">
      <c r="B11977" s="3"/>
    </row>
    <row r="11978" spans="2:2">
      <c r="B11978" s="3"/>
    </row>
    <row r="11979" spans="2:2">
      <c r="B11979" s="3"/>
    </row>
    <row r="11980" spans="2:2">
      <c r="B11980" s="3"/>
    </row>
    <row r="11981" spans="2:2">
      <c r="B11981" s="3"/>
    </row>
    <row r="11982" spans="2:2">
      <c r="B11982" s="3"/>
    </row>
    <row r="11983" spans="2:2">
      <c r="B11983" s="3"/>
    </row>
    <row r="11984" spans="2:2">
      <c r="B11984" s="3"/>
    </row>
    <row r="11985" spans="2:2">
      <c r="B11985" s="3"/>
    </row>
    <row r="11986" spans="2:2">
      <c r="B11986" s="3"/>
    </row>
    <row r="11987" spans="2:2">
      <c r="B11987" s="3"/>
    </row>
    <row r="11988" spans="2:2">
      <c r="B11988" s="3"/>
    </row>
    <row r="11989" spans="2:2">
      <c r="B11989" s="3"/>
    </row>
    <row r="11990" spans="2:2">
      <c r="B11990" s="3"/>
    </row>
    <row r="11991" spans="2:2">
      <c r="B11991" s="3"/>
    </row>
    <row r="11992" spans="2:2">
      <c r="B11992" s="3"/>
    </row>
    <row r="11993" spans="2:2">
      <c r="B11993" s="3"/>
    </row>
    <row r="11994" spans="2:2">
      <c r="B11994" s="3"/>
    </row>
    <row r="11995" spans="2:2">
      <c r="B11995" s="3"/>
    </row>
    <row r="11996" spans="2:2">
      <c r="B11996" s="3"/>
    </row>
    <row r="11997" spans="2:2">
      <c r="B11997" s="3"/>
    </row>
    <row r="11998" spans="2:2">
      <c r="B11998" s="3"/>
    </row>
    <row r="11999" spans="2:2">
      <c r="B11999" s="3"/>
    </row>
    <row r="12000" spans="2:2">
      <c r="B12000" s="3"/>
    </row>
    <row r="12001" spans="2:2">
      <c r="B12001" s="3"/>
    </row>
    <row r="12002" spans="2:2">
      <c r="B12002" s="3"/>
    </row>
    <row r="12003" spans="2:2">
      <c r="B12003" s="3"/>
    </row>
    <row r="12004" spans="2:2">
      <c r="B12004" s="3"/>
    </row>
    <row r="12005" spans="2:2">
      <c r="B12005" s="3"/>
    </row>
    <row r="12006" spans="2:2">
      <c r="B12006" s="3"/>
    </row>
    <row r="12007" spans="2:2">
      <c r="B12007" s="3"/>
    </row>
    <row r="12008" spans="2:2">
      <c r="B12008" s="3"/>
    </row>
    <row r="12009" spans="2:2">
      <c r="B12009" s="3"/>
    </row>
    <row r="12010" spans="2:2">
      <c r="B12010" s="3"/>
    </row>
    <row r="12011" spans="2:2">
      <c r="B12011" s="3"/>
    </row>
    <row r="12012" spans="2:2">
      <c r="B12012" s="3"/>
    </row>
    <row r="12013" spans="2:2">
      <c r="B12013" s="3"/>
    </row>
    <row r="12014" spans="2:2">
      <c r="B12014" s="3"/>
    </row>
    <row r="12015" spans="2:2">
      <c r="B12015" s="3"/>
    </row>
    <row r="12016" spans="2:2">
      <c r="B12016" s="3"/>
    </row>
    <row r="12017" spans="2:2">
      <c r="B12017" s="3"/>
    </row>
    <row r="12018" spans="2:2">
      <c r="B12018" s="3"/>
    </row>
    <row r="12019" spans="2:2">
      <c r="B12019" s="3"/>
    </row>
    <row r="12020" spans="2:2">
      <c r="B12020" s="3"/>
    </row>
    <row r="12021" spans="2:2">
      <c r="B12021" s="3"/>
    </row>
    <row r="12022" spans="2:2">
      <c r="B12022" s="3"/>
    </row>
    <row r="12023" spans="2:2">
      <c r="B12023" s="3"/>
    </row>
    <row r="12024" spans="2:2">
      <c r="B12024" s="3"/>
    </row>
    <row r="12025" spans="2:2">
      <c r="B12025" s="3"/>
    </row>
    <row r="12026" spans="2:2">
      <c r="B12026" s="3"/>
    </row>
    <row r="12027" spans="2:2">
      <c r="B12027" s="3"/>
    </row>
    <row r="12028" spans="2:2">
      <c r="B12028" s="3"/>
    </row>
    <row r="12029" spans="2:2">
      <c r="B12029" s="3"/>
    </row>
    <row r="12030" spans="2:2">
      <c r="B12030" s="3"/>
    </row>
    <row r="12031" spans="2:2">
      <c r="B12031" s="3"/>
    </row>
    <row r="12032" spans="2:2">
      <c r="B12032" s="3"/>
    </row>
    <row r="12033" spans="2:2">
      <c r="B12033" s="3"/>
    </row>
    <row r="12034" spans="2:2">
      <c r="B12034" s="3"/>
    </row>
    <row r="12035" spans="2:2">
      <c r="B12035" s="3"/>
    </row>
    <row r="12036" spans="2:2">
      <c r="B12036" s="3"/>
    </row>
    <row r="12037" spans="2:2">
      <c r="B12037" s="3"/>
    </row>
    <row r="12038" spans="2:2">
      <c r="B12038" s="3"/>
    </row>
    <row r="12039" spans="2:2">
      <c r="B12039" s="3"/>
    </row>
    <row r="12040" spans="2:2">
      <c r="B12040" s="3"/>
    </row>
    <row r="12041" spans="2:2">
      <c r="B12041" s="3"/>
    </row>
    <row r="12042" spans="2:2">
      <c r="B12042" s="3"/>
    </row>
    <row r="12043" spans="2:2">
      <c r="B12043" s="3"/>
    </row>
    <row r="12044" spans="2:2">
      <c r="B12044" s="3"/>
    </row>
    <row r="12045" spans="2:2">
      <c r="B12045" s="3"/>
    </row>
    <row r="12046" spans="2:2">
      <c r="B12046" s="3"/>
    </row>
    <row r="12047" spans="2:2">
      <c r="B12047" s="3"/>
    </row>
    <row r="12048" spans="2:2">
      <c r="B12048" s="3"/>
    </row>
    <row r="12049" spans="2:2">
      <c r="B12049" s="3"/>
    </row>
    <row r="12050" spans="2:2">
      <c r="B12050" s="3"/>
    </row>
    <row r="12051" spans="2:2">
      <c r="B12051" s="3"/>
    </row>
    <row r="12052" spans="2:2">
      <c r="B12052" s="3"/>
    </row>
    <row r="12053" spans="2:2">
      <c r="B12053" s="3"/>
    </row>
    <row r="12054" spans="2:2">
      <c r="B12054" s="3"/>
    </row>
    <row r="12055" spans="2:2">
      <c r="B12055" s="3"/>
    </row>
    <row r="12056" spans="2:2">
      <c r="B12056" s="3"/>
    </row>
    <row r="12057" spans="2:2">
      <c r="B12057" s="3"/>
    </row>
    <row r="12058" spans="2:2">
      <c r="B12058" s="3"/>
    </row>
    <row r="12059" spans="2:2">
      <c r="B12059" s="3"/>
    </row>
    <row r="12060" spans="2:2">
      <c r="B12060" s="3"/>
    </row>
    <row r="12061" spans="2:2">
      <c r="B12061" s="3"/>
    </row>
    <row r="12062" spans="2:2">
      <c r="B12062" s="3"/>
    </row>
    <row r="12063" spans="2:2">
      <c r="B12063" s="3"/>
    </row>
    <row r="12064" spans="2:2">
      <c r="B12064" s="3"/>
    </row>
    <row r="12065" spans="2:2">
      <c r="B12065" s="3"/>
    </row>
    <row r="12066" spans="2:2">
      <c r="B12066" s="3"/>
    </row>
    <row r="12067" spans="2:2">
      <c r="B12067" s="3"/>
    </row>
    <row r="12068" spans="2:2">
      <c r="B12068" s="3"/>
    </row>
    <row r="12069" spans="2:2">
      <c r="B12069" s="3"/>
    </row>
    <row r="12070" spans="2:2">
      <c r="B12070" s="3"/>
    </row>
    <row r="12071" spans="2:2">
      <c r="B12071" s="3"/>
    </row>
    <row r="12072" spans="2:2">
      <c r="B12072" s="3"/>
    </row>
    <row r="12073" spans="2:2">
      <c r="B12073" s="3"/>
    </row>
    <row r="12074" spans="2:2">
      <c r="B12074" s="3"/>
    </row>
    <row r="12075" spans="2:2">
      <c r="B12075" s="3"/>
    </row>
    <row r="12076" spans="2:2">
      <c r="B12076" s="3"/>
    </row>
    <row r="12077" spans="2:2">
      <c r="B12077" s="3"/>
    </row>
    <row r="12078" spans="2:2">
      <c r="B12078" s="3"/>
    </row>
    <row r="12079" spans="2:2">
      <c r="B12079" s="3"/>
    </row>
    <row r="12080" spans="2:2">
      <c r="B12080" s="3"/>
    </row>
    <row r="12081" spans="2:2">
      <c r="B12081" s="3"/>
    </row>
    <row r="12082" spans="2:2">
      <c r="B12082" s="3"/>
    </row>
    <row r="12083" spans="2:2">
      <c r="B12083" s="3"/>
    </row>
    <row r="12084" spans="2:2">
      <c r="B12084" s="3"/>
    </row>
    <row r="12085" spans="2:2">
      <c r="B12085" s="3"/>
    </row>
    <row r="12086" spans="2:2">
      <c r="B12086" s="3"/>
    </row>
    <row r="12087" spans="2:2">
      <c r="B12087" s="3"/>
    </row>
    <row r="12088" spans="2:2">
      <c r="B12088" s="3"/>
    </row>
    <row r="12089" spans="2:2">
      <c r="B12089" s="3"/>
    </row>
    <row r="12090" spans="2:2">
      <c r="B12090" s="3"/>
    </row>
    <row r="12091" spans="2:2">
      <c r="B12091" s="3"/>
    </row>
    <row r="12092" spans="2:2">
      <c r="B12092" s="3"/>
    </row>
    <row r="12093" spans="2:2">
      <c r="B12093" s="3"/>
    </row>
    <row r="12094" spans="2:2">
      <c r="B12094" s="3"/>
    </row>
    <row r="12095" spans="2:2">
      <c r="B12095" s="3"/>
    </row>
    <row r="12096" spans="2:2">
      <c r="B12096" s="3"/>
    </row>
    <row r="12097" spans="2:2">
      <c r="B12097" s="3"/>
    </row>
    <row r="12098" spans="2:2">
      <c r="B12098" s="3"/>
    </row>
    <row r="12099" spans="2:2">
      <c r="B12099" s="3"/>
    </row>
    <row r="12100" spans="2:2">
      <c r="B12100" s="3"/>
    </row>
    <row r="12101" spans="2:2">
      <c r="B12101" s="3"/>
    </row>
    <row r="12102" spans="2:2">
      <c r="B12102" s="3"/>
    </row>
    <row r="12103" spans="2:2">
      <c r="B12103" s="3"/>
    </row>
    <row r="12104" spans="2:2">
      <c r="B12104" s="3"/>
    </row>
    <row r="12105" spans="2:2">
      <c r="B12105" s="3"/>
    </row>
    <row r="12106" spans="2:2">
      <c r="B12106" s="3"/>
    </row>
    <row r="12107" spans="2:2">
      <c r="B12107" s="3"/>
    </row>
    <row r="12108" spans="2:2">
      <c r="B12108" s="3"/>
    </row>
    <row r="12109" spans="2:2">
      <c r="B12109" s="3"/>
    </row>
    <row r="12110" spans="2:2">
      <c r="B12110" s="3"/>
    </row>
    <row r="12111" spans="2:2">
      <c r="B12111" s="3"/>
    </row>
    <row r="12112" spans="2:2">
      <c r="B12112" s="3"/>
    </row>
    <row r="12113" spans="2:2">
      <c r="B12113" s="3"/>
    </row>
    <row r="12114" spans="2:2">
      <c r="B12114" s="3"/>
    </row>
    <row r="12115" spans="2:2">
      <c r="B12115" s="3"/>
    </row>
    <row r="12116" spans="2:2">
      <c r="B12116" s="3"/>
    </row>
    <row r="12117" spans="2:2">
      <c r="B12117" s="3"/>
    </row>
    <row r="12118" spans="2:2">
      <c r="B12118" s="3"/>
    </row>
    <row r="12119" spans="2:2">
      <c r="B12119" s="3"/>
    </row>
    <row r="12120" spans="2:2">
      <c r="B12120" s="3"/>
    </row>
    <row r="12121" spans="2:2">
      <c r="B12121" s="3"/>
    </row>
    <row r="12122" spans="2:2">
      <c r="B12122" s="3"/>
    </row>
    <row r="12123" spans="2:2">
      <c r="B12123" s="3"/>
    </row>
    <row r="12124" spans="2:2">
      <c r="B12124" s="3"/>
    </row>
    <row r="12125" spans="2:2">
      <c r="B12125" s="3"/>
    </row>
    <row r="12126" spans="2:2">
      <c r="B12126" s="3"/>
    </row>
    <row r="12127" spans="2:2">
      <c r="B12127" s="3"/>
    </row>
    <row r="12128" spans="2:2">
      <c r="B12128" s="3"/>
    </row>
    <row r="12129" spans="2:2">
      <c r="B12129" s="3"/>
    </row>
    <row r="12130" spans="2:2">
      <c r="B12130" s="3"/>
    </row>
    <row r="12131" spans="2:2">
      <c r="B12131" s="3"/>
    </row>
    <row r="12132" spans="2:2">
      <c r="B12132" s="3"/>
    </row>
    <row r="12133" spans="2:2">
      <c r="B12133" s="3"/>
    </row>
    <row r="12134" spans="2:2">
      <c r="B12134" s="3"/>
    </row>
    <row r="12135" spans="2:2">
      <c r="B12135" s="3"/>
    </row>
    <row r="12136" spans="2:2">
      <c r="B12136" s="3"/>
    </row>
    <row r="12137" spans="2:2">
      <c r="B12137" s="3"/>
    </row>
    <row r="12138" spans="2:2">
      <c r="B12138" s="3"/>
    </row>
    <row r="12139" spans="2:2">
      <c r="B12139" s="3"/>
    </row>
    <row r="12140" spans="2:2">
      <c r="B12140" s="3"/>
    </row>
    <row r="12141" spans="2:2">
      <c r="B12141" s="3"/>
    </row>
    <row r="12142" spans="2:2">
      <c r="B12142" s="3"/>
    </row>
    <row r="12143" spans="2:2">
      <c r="B12143" s="3"/>
    </row>
    <row r="12144" spans="2:2">
      <c r="B12144" s="3"/>
    </row>
    <row r="12145" spans="2:2">
      <c r="B12145" s="3"/>
    </row>
    <row r="12146" spans="2:2">
      <c r="B12146" s="3"/>
    </row>
    <row r="12147" spans="2:2">
      <c r="B12147" s="3"/>
    </row>
    <row r="12148" spans="2:2">
      <c r="B12148" s="3"/>
    </row>
    <row r="12149" spans="2:2">
      <c r="B12149" s="3"/>
    </row>
    <row r="12150" spans="2:2">
      <c r="B12150" s="3"/>
    </row>
    <row r="12151" spans="2:2">
      <c r="B12151" s="3"/>
    </row>
    <row r="12152" spans="2:2">
      <c r="B12152" s="3"/>
    </row>
    <row r="12153" spans="2:2">
      <c r="B12153" s="3"/>
    </row>
    <row r="12154" spans="2:2">
      <c r="B12154" s="3"/>
    </row>
    <row r="12155" spans="2:2">
      <c r="B12155" s="3"/>
    </row>
    <row r="12156" spans="2:2">
      <c r="B12156" s="3"/>
    </row>
    <row r="12157" spans="2:2">
      <c r="B12157" s="3"/>
    </row>
    <row r="12158" spans="2:2">
      <c r="B12158" s="3"/>
    </row>
    <row r="12159" spans="2:2">
      <c r="B12159" s="3"/>
    </row>
    <row r="12160" spans="2:2">
      <c r="B12160" s="3"/>
    </row>
    <row r="12161" spans="2:2">
      <c r="B12161" s="3"/>
    </row>
    <row r="12162" spans="2:2">
      <c r="B12162" s="3"/>
    </row>
    <row r="12163" spans="2:2">
      <c r="B12163" s="3"/>
    </row>
    <row r="12164" spans="2:2">
      <c r="B12164" s="3"/>
    </row>
    <row r="12165" spans="2:2">
      <c r="B12165" s="3"/>
    </row>
    <row r="12166" spans="2:2">
      <c r="B12166" s="3"/>
    </row>
    <row r="12167" spans="2:2">
      <c r="B12167" s="3"/>
    </row>
    <row r="12168" spans="2:2">
      <c r="B12168" s="3"/>
    </row>
    <row r="12169" spans="2:2">
      <c r="B12169" s="3"/>
    </row>
    <row r="12170" spans="2:2">
      <c r="B12170" s="3"/>
    </row>
    <row r="12171" spans="2:2">
      <c r="B12171" s="3"/>
    </row>
    <row r="12172" spans="2:2">
      <c r="B12172" s="3"/>
    </row>
    <row r="12173" spans="2:2">
      <c r="B12173" s="3"/>
    </row>
    <row r="12174" spans="2:2">
      <c r="B12174" s="3"/>
    </row>
    <row r="12175" spans="2:2">
      <c r="B12175" s="3"/>
    </row>
    <row r="12176" spans="2:2">
      <c r="B12176" s="3"/>
    </row>
    <row r="12177" spans="2:2">
      <c r="B12177" s="3"/>
    </row>
    <row r="12178" spans="2:2">
      <c r="B12178" s="3"/>
    </row>
    <row r="12179" spans="2:2">
      <c r="B12179" s="3"/>
    </row>
    <row r="12180" spans="2:2">
      <c r="B12180" s="3"/>
    </row>
    <row r="12181" spans="2:2">
      <c r="B12181" s="3"/>
    </row>
    <row r="12182" spans="2:2">
      <c r="B12182" s="3"/>
    </row>
    <row r="12183" spans="2:2">
      <c r="B12183" s="3"/>
    </row>
    <row r="12184" spans="2:2">
      <c r="B12184" s="3"/>
    </row>
    <row r="12185" spans="2:2">
      <c r="B12185" s="3"/>
    </row>
    <row r="12186" spans="2:2">
      <c r="B12186" s="3"/>
    </row>
    <row r="12187" spans="2:2">
      <c r="B12187" s="3"/>
    </row>
    <row r="12188" spans="2:2">
      <c r="B12188" s="3"/>
    </row>
    <row r="12189" spans="2:2">
      <c r="B12189" s="3"/>
    </row>
    <row r="12190" spans="2:2">
      <c r="B12190" s="3"/>
    </row>
    <row r="12191" spans="2:2">
      <c r="B12191" s="3"/>
    </row>
    <row r="12192" spans="2:2">
      <c r="B12192" s="3"/>
    </row>
    <row r="12193" spans="2:2">
      <c r="B12193" s="3"/>
    </row>
    <row r="12194" spans="2:2">
      <c r="B12194" s="3"/>
    </row>
    <row r="12195" spans="2:2">
      <c r="B12195" s="3"/>
    </row>
    <row r="12196" spans="2:2">
      <c r="B12196" s="3"/>
    </row>
    <row r="12197" spans="2:2">
      <c r="B12197" s="3"/>
    </row>
    <row r="12198" spans="2:2">
      <c r="B12198" s="3"/>
    </row>
    <row r="12199" spans="2:2">
      <c r="B12199" s="3"/>
    </row>
    <row r="12200" spans="2:2">
      <c r="B12200" s="3"/>
    </row>
    <row r="12201" spans="2:2">
      <c r="B12201" s="3"/>
    </row>
    <row r="12202" spans="2:2">
      <c r="B12202" s="3"/>
    </row>
    <row r="12203" spans="2:2">
      <c r="B12203" s="3"/>
    </row>
    <row r="12204" spans="2:2">
      <c r="B12204" s="3"/>
    </row>
    <row r="12205" spans="2:2">
      <c r="B12205" s="3"/>
    </row>
    <row r="12206" spans="2:2">
      <c r="B12206" s="3"/>
    </row>
    <row r="12207" spans="2:2">
      <c r="B12207" s="3"/>
    </row>
    <row r="12208" spans="2:2">
      <c r="B12208" s="3"/>
    </row>
    <row r="12209" spans="2:2">
      <c r="B12209" s="3"/>
    </row>
    <row r="12210" spans="2:2">
      <c r="B12210" s="3"/>
    </row>
    <row r="12211" spans="2:2">
      <c r="B12211" s="3"/>
    </row>
    <row r="12212" spans="2:2">
      <c r="B12212" s="3"/>
    </row>
    <row r="12213" spans="2:2">
      <c r="B12213" s="3"/>
    </row>
    <row r="12214" spans="2:2">
      <c r="B12214" s="3"/>
    </row>
    <row r="12215" spans="2:2">
      <c r="B12215" s="3"/>
    </row>
    <row r="12216" spans="2:2">
      <c r="B12216" s="3"/>
    </row>
    <row r="12217" spans="2:2">
      <c r="B12217" s="3"/>
    </row>
    <row r="12218" spans="2:2">
      <c r="B12218" s="3"/>
    </row>
    <row r="12219" spans="2:2">
      <c r="B12219" s="3"/>
    </row>
    <row r="12220" spans="2:2">
      <c r="B12220" s="3"/>
    </row>
    <row r="12221" spans="2:2">
      <c r="B12221" s="3"/>
    </row>
    <row r="12222" spans="2:2">
      <c r="B12222" s="3"/>
    </row>
    <row r="12223" spans="2:2">
      <c r="B12223" s="3"/>
    </row>
    <row r="12224" spans="2:2">
      <c r="B12224" s="3"/>
    </row>
    <row r="12225" spans="2:2">
      <c r="B12225" s="3"/>
    </row>
    <row r="12226" spans="2:2">
      <c r="B12226" s="3"/>
    </row>
    <row r="12227" spans="2:2">
      <c r="B12227" s="3"/>
    </row>
    <row r="12228" spans="2:2">
      <c r="B12228" s="3"/>
    </row>
    <row r="12229" spans="2:2">
      <c r="B12229" s="3"/>
    </row>
    <row r="12230" spans="2:2">
      <c r="B12230" s="3"/>
    </row>
    <row r="12231" spans="2:2">
      <c r="B12231" s="3"/>
    </row>
    <row r="12232" spans="2:2">
      <c r="B12232" s="3"/>
    </row>
    <row r="12233" spans="2:2">
      <c r="B12233" s="3"/>
    </row>
    <row r="12234" spans="2:2">
      <c r="B12234" s="3"/>
    </row>
    <row r="12235" spans="2:2">
      <c r="B12235" s="3"/>
    </row>
    <row r="12236" spans="2:2">
      <c r="B12236" s="3"/>
    </row>
    <row r="12237" spans="2:2">
      <c r="B12237" s="3"/>
    </row>
    <row r="12238" spans="2:2">
      <c r="B12238" s="3"/>
    </row>
    <row r="12239" spans="2:2">
      <c r="B12239" s="3"/>
    </row>
    <row r="12240" spans="2:2">
      <c r="B12240" s="3"/>
    </row>
    <row r="12241" spans="2:2">
      <c r="B12241" s="3"/>
    </row>
    <row r="12242" spans="2:2">
      <c r="B12242" s="3"/>
    </row>
    <row r="12243" spans="2:2">
      <c r="B12243" s="3"/>
    </row>
    <row r="12244" spans="2:2">
      <c r="B12244" s="3"/>
    </row>
    <row r="12245" spans="2:2">
      <c r="B12245" s="3"/>
    </row>
    <row r="12246" spans="2:2">
      <c r="B12246" s="3"/>
    </row>
    <row r="12247" spans="2:2">
      <c r="B12247" s="3"/>
    </row>
    <row r="12248" spans="2:2">
      <c r="B12248" s="3"/>
    </row>
    <row r="12249" spans="2:2">
      <c r="B12249" s="3"/>
    </row>
    <row r="12250" spans="2:2">
      <c r="B12250" s="3"/>
    </row>
    <row r="12251" spans="2:2">
      <c r="B12251" s="3"/>
    </row>
    <row r="12252" spans="2:2">
      <c r="B12252" s="3"/>
    </row>
    <row r="12253" spans="2:2">
      <c r="B12253" s="3"/>
    </row>
    <row r="12254" spans="2:2">
      <c r="B12254" s="3"/>
    </row>
    <row r="12255" spans="2:2">
      <c r="B12255" s="3"/>
    </row>
    <row r="12256" spans="2:2">
      <c r="B12256" s="3"/>
    </row>
    <row r="12257" spans="2:2">
      <c r="B12257" s="3"/>
    </row>
    <row r="12258" spans="2:2">
      <c r="B12258" s="3"/>
    </row>
    <row r="12259" spans="2:2">
      <c r="B12259" s="3"/>
    </row>
    <row r="12260" spans="2:2">
      <c r="B12260" s="3"/>
    </row>
    <row r="12261" spans="2:2">
      <c r="B12261" s="3"/>
    </row>
    <row r="12262" spans="2:2">
      <c r="B12262" s="3"/>
    </row>
    <row r="12263" spans="2:2">
      <c r="B12263" s="3"/>
    </row>
    <row r="12264" spans="2:2">
      <c r="B12264" s="3"/>
    </row>
    <row r="12265" spans="2:2">
      <c r="B12265" s="3"/>
    </row>
    <row r="12266" spans="2:2">
      <c r="B12266" s="3"/>
    </row>
    <row r="12267" spans="2:2">
      <c r="B12267" s="3"/>
    </row>
    <row r="12268" spans="2:2">
      <c r="B12268" s="3"/>
    </row>
    <row r="12269" spans="2:2">
      <c r="B12269" s="3"/>
    </row>
    <row r="12270" spans="2:2">
      <c r="B12270" s="3"/>
    </row>
    <row r="12271" spans="2:2">
      <c r="B12271" s="3"/>
    </row>
    <row r="12272" spans="2:2">
      <c r="B12272" s="3"/>
    </row>
    <row r="12273" spans="2:2">
      <c r="B12273" s="3"/>
    </row>
    <row r="12274" spans="2:2">
      <c r="B12274" s="3"/>
    </row>
    <row r="12275" spans="2:2">
      <c r="B12275" s="3"/>
    </row>
    <row r="12276" spans="2:2">
      <c r="B12276" s="3"/>
    </row>
    <row r="12277" spans="2:2">
      <c r="B12277" s="3"/>
    </row>
    <row r="12278" spans="2:2">
      <c r="B12278" s="3"/>
    </row>
    <row r="12279" spans="2:2">
      <c r="B12279" s="3"/>
    </row>
    <row r="12280" spans="2:2">
      <c r="B12280" s="3"/>
    </row>
    <row r="12281" spans="2:2">
      <c r="B12281" s="3"/>
    </row>
    <row r="12282" spans="2:2">
      <c r="B12282" s="3"/>
    </row>
    <row r="12283" spans="2:2">
      <c r="B12283" s="3"/>
    </row>
    <row r="12284" spans="2:2">
      <c r="B12284" s="3"/>
    </row>
    <row r="12285" spans="2:2">
      <c r="B12285" s="3"/>
    </row>
    <row r="12286" spans="2:2">
      <c r="B12286" s="3"/>
    </row>
    <row r="12287" spans="2:2">
      <c r="B12287" s="3"/>
    </row>
    <row r="12288" spans="2:2">
      <c r="B12288" s="3"/>
    </row>
    <row r="12289" spans="2:2">
      <c r="B12289" s="3"/>
    </row>
    <row r="12290" spans="2:2">
      <c r="B12290" s="3"/>
    </row>
    <row r="12291" spans="2:2">
      <c r="B12291" s="3"/>
    </row>
    <row r="12292" spans="2:2">
      <c r="B12292" s="3"/>
    </row>
    <row r="12293" spans="2:2">
      <c r="B12293" s="3"/>
    </row>
    <row r="12294" spans="2:2">
      <c r="B12294" s="3"/>
    </row>
    <row r="12295" spans="2:2">
      <c r="B12295" s="3"/>
    </row>
    <row r="12296" spans="2:2">
      <c r="B12296" s="3"/>
    </row>
    <row r="12297" spans="2:2">
      <c r="B12297" s="3"/>
    </row>
    <row r="12298" spans="2:2">
      <c r="B12298" s="3"/>
    </row>
    <row r="12299" spans="2:2">
      <c r="B12299" s="3"/>
    </row>
    <row r="12300" spans="2:2">
      <c r="B12300" s="3"/>
    </row>
    <row r="12301" spans="2:2">
      <c r="B12301" s="3"/>
    </row>
    <row r="12302" spans="2:2">
      <c r="B12302" s="3"/>
    </row>
    <row r="12303" spans="2:2">
      <c r="B12303" s="3"/>
    </row>
    <row r="12304" spans="2:2">
      <c r="B12304" s="3"/>
    </row>
    <row r="12305" spans="2:2">
      <c r="B12305" s="3"/>
    </row>
    <row r="12306" spans="2:2">
      <c r="B12306" s="3"/>
    </row>
    <row r="12307" spans="2:2">
      <c r="B12307" s="3"/>
    </row>
    <row r="12308" spans="2:2">
      <c r="B12308" s="3"/>
    </row>
    <row r="12309" spans="2:2">
      <c r="B12309" s="3"/>
    </row>
    <row r="12310" spans="2:2">
      <c r="B12310" s="3"/>
    </row>
    <row r="12311" spans="2:2">
      <c r="B12311" s="3"/>
    </row>
    <row r="12312" spans="2:2">
      <c r="B12312" s="3"/>
    </row>
    <row r="12313" spans="2:2">
      <c r="B12313" s="3"/>
    </row>
    <row r="12314" spans="2:2">
      <c r="B12314" s="3"/>
    </row>
    <row r="12315" spans="2:2">
      <c r="B12315" s="3"/>
    </row>
    <row r="12316" spans="2:2">
      <c r="B12316" s="3"/>
    </row>
    <row r="12317" spans="2:2">
      <c r="B12317" s="3"/>
    </row>
    <row r="12318" spans="2:2">
      <c r="B12318" s="3"/>
    </row>
    <row r="12319" spans="2:2">
      <c r="B12319" s="3"/>
    </row>
    <row r="12320" spans="2:2">
      <c r="B12320" s="3"/>
    </row>
    <row r="12321" spans="2:2">
      <c r="B12321" s="3"/>
    </row>
    <row r="12322" spans="2:2">
      <c r="B12322" s="3"/>
    </row>
    <row r="12323" spans="2:2">
      <c r="B12323" s="3"/>
    </row>
    <row r="12324" spans="2:2">
      <c r="B12324" s="3"/>
    </row>
    <row r="12325" spans="2:2">
      <c r="B12325" s="3"/>
    </row>
    <row r="12326" spans="2:2">
      <c r="B12326" s="3"/>
    </row>
    <row r="12327" spans="2:2">
      <c r="B12327" s="3"/>
    </row>
    <row r="12328" spans="2:2">
      <c r="B12328" s="3"/>
    </row>
    <row r="12329" spans="2:2">
      <c r="B12329" s="3"/>
    </row>
    <row r="12330" spans="2:2">
      <c r="B12330" s="3"/>
    </row>
    <row r="12331" spans="2:2">
      <c r="B12331" s="3"/>
    </row>
    <row r="12332" spans="2:2">
      <c r="B12332" s="3"/>
    </row>
    <row r="12333" spans="2:2">
      <c r="B12333" s="3"/>
    </row>
    <row r="12334" spans="2:2">
      <c r="B12334" s="3"/>
    </row>
    <row r="12335" spans="2:2">
      <c r="B12335" s="3"/>
    </row>
    <row r="12336" spans="2:2">
      <c r="B12336" s="3"/>
    </row>
    <row r="12337" spans="2:2">
      <c r="B12337" s="3"/>
    </row>
    <row r="12338" spans="2:2">
      <c r="B12338" s="3"/>
    </row>
    <row r="12339" spans="2:2">
      <c r="B12339" s="3"/>
    </row>
    <row r="12340" spans="2:2">
      <c r="B12340" s="3"/>
    </row>
    <row r="12341" spans="2:2">
      <c r="B12341" s="3"/>
    </row>
    <row r="12342" spans="2:2">
      <c r="B12342" s="3"/>
    </row>
    <row r="12343" spans="2:2">
      <c r="B12343" s="3"/>
    </row>
    <row r="12344" spans="2:2">
      <c r="B12344" s="3"/>
    </row>
    <row r="12345" spans="2:2">
      <c r="B12345" s="3"/>
    </row>
    <row r="12346" spans="2:2">
      <c r="B12346" s="3"/>
    </row>
    <row r="12347" spans="2:2">
      <c r="B12347" s="3"/>
    </row>
    <row r="12348" spans="2:2">
      <c r="B12348" s="3"/>
    </row>
    <row r="12349" spans="2:2">
      <c r="B12349" s="3"/>
    </row>
    <row r="12350" spans="2:2">
      <c r="B12350" s="3"/>
    </row>
    <row r="12351" spans="2:2">
      <c r="B12351" s="3"/>
    </row>
    <row r="12352" spans="2:2">
      <c r="B12352" s="3"/>
    </row>
    <row r="12353" spans="2:2">
      <c r="B12353" s="3"/>
    </row>
    <row r="12354" spans="2:2">
      <c r="B12354" s="3"/>
    </row>
    <row r="12355" spans="2:2">
      <c r="B12355" s="3"/>
    </row>
    <row r="12356" spans="2:2">
      <c r="B12356" s="3"/>
    </row>
    <row r="12357" spans="2:2">
      <c r="B12357" s="3"/>
    </row>
    <row r="12358" spans="2:2">
      <c r="B12358" s="3"/>
    </row>
    <row r="12359" spans="2:2">
      <c r="B12359" s="3"/>
    </row>
    <row r="12360" spans="2:2">
      <c r="B12360" s="3"/>
    </row>
    <row r="12361" spans="2:2">
      <c r="B12361" s="3"/>
    </row>
    <row r="12362" spans="2:2">
      <c r="B12362" s="3"/>
    </row>
    <row r="12363" spans="2:2">
      <c r="B12363" s="3"/>
    </row>
    <row r="12364" spans="2:2">
      <c r="B12364" s="3"/>
    </row>
    <row r="12365" spans="2:2">
      <c r="B12365" s="3"/>
    </row>
    <row r="12366" spans="2:2">
      <c r="B12366" s="3"/>
    </row>
    <row r="12367" spans="2:2">
      <c r="B12367" s="3"/>
    </row>
    <row r="12368" spans="2:2">
      <c r="B12368" s="3"/>
    </row>
    <row r="12369" spans="2:2">
      <c r="B12369" s="3"/>
    </row>
    <row r="12370" spans="2:2">
      <c r="B12370" s="3"/>
    </row>
    <row r="12371" spans="2:2">
      <c r="B12371" s="3"/>
    </row>
    <row r="12372" spans="2:2">
      <c r="B12372" s="3"/>
    </row>
    <row r="12373" spans="2:2">
      <c r="B12373" s="3"/>
    </row>
    <row r="12374" spans="2:2">
      <c r="B12374" s="3"/>
    </row>
    <row r="12375" spans="2:2">
      <c r="B12375" s="3"/>
    </row>
    <row r="12376" spans="2:2">
      <c r="B12376" s="3"/>
    </row>
    <row r="12377" spans="2:2">
      <c r="B12377" s="3"/>
    </row>
    <row r="12378" spans="2:2">
      <c r="B12378" s="3"/>
    </row>
    <row r="12379" spans="2:2">
      <c r="B12379" s="3"/>
    </row>
    <row r="12380" spans="2:2">
      <c r="B12380" s="3"/>
    </row>
    <row r="12381" spans="2:2">
      <c r="B12381" s="3"/>
    </row>
    <row r="12382" spans="2:2">
      <c r="B12382" s="3"/>
    </row>
    <row r="12383" spans="2:2">
      <c r="B12383" s="3"/>
    </row>
    <row r="12384" spans="2:2">
      <c r="B12384" s="3"/>
    </row>
    <row r="12385" spans="2:2">
      <c r="B12385" s="3"/>
    </row>
    <row r="12386" spans="2:2">
      <c r="B12386" s="3"/>
    </row>
    <row r="12387" spans="2:2">
      <c r="B12387" s="3"/>
    </row>
    <row r="12388" spans="2:2">
      <c r="B12388" s="3"/>
    </row>
    <row r="12389" spans="2:2">
      <c r="B12389" s="3"/>
    </row>
    <row r="12390" spans="2:2">
      <c r="B12390" s="3"/>
    </row>
    <row r="12391" spans="2:2">
      <c r="B12391" s="3"/>
    </row>
    <row r="12392" spans="2:2">
      <c r="B12392" s="3"/>
    </row>
    <row r="12393" spans="2:2">
      <c r="B12393" s="3"/>
    </row>
    <row r="12394" spans="2:2">
      <c r="B12394" s="3"/>
    </row>
    <row r="12395" spans="2:2">
      <c r="B12395" s="3"/>
    </row>
    <row r="12396" spans="2:2">
      <c r="B12396" s="3"/>
    </row>
    <row r="12397" spans="2:2">
      <c r="B12397" s="3"/>
    </row>
    <row r="12398" spans="2:2">
      <c r="B12398" s="3"/>
    </row>
    <row r="12399" spans="2:2">
      <c r="B12399" s="3"/>
    </row>
    <row r="12400" spans="2:2">
      <c r="B12400" s="3"/>
    </row>
    <row r="12401" spans="2:2">
      <c r="B12401" s="3"/>
    </row>
    <row r="12402" spans="2:2">
      <c r="B12402" s="3"/>
    </row>
    <row r="12403" spans="2:2">
      <c r="B12403" s="3"/>
    </row>
    <row r="12404" spans="2:2">
      <c r="B12404" s="3"/>
    </row>
    <row r="12405" spans="2:2">
      <c r="B12405" s="3"/>
    </row>
    <row r="12406" spans="2:2">
      <c r="B12406" s="3"/>
    </row>
    <row r="12407" spans="2:2">
      <c r="B12407" s="3"/>
    </row>
    <row r="12408" spans="2:2">
      <c r="B12408" s="3"/>
    </row>
    <row r="12409" spans="2:2">
      <c r="B12409" s="3"/>
    </row>
    <row r="12410" spans="2:2">
      <c r="B12410" s="3"/>
    </row>
    <row r="12411" spans="2:2">
      <c r="B12411" s="3"/>
    </row>
    <row r="12412" spans="2:2">
      <c r="B12412" s="3"/>
    </row>
    <row r="12413" spans="2:2">
      <c r="B12413" s="3"/>
    </row>
    <row r="12414" spans="2:2">
      <c r="B12414" s="3"/>
    </row>
    <row r="12415" spans="2:2">
      <c r="B12415" s="3"/>
    </row>
    <row r="12416" spans="2:2">
      <c r="B12416" s="3"/>
    </row>
    <row r="12417" spans="2:2">
      <c r="B12417" s="3"/>
    </row>
    <row r="12418" spans="2:2">
      <c r="B12418" s="3"/>
    </row>
    <row r="12419" spans="2:2">
      <c r="B12419" s="3"/>
    </row>
    <row r="12420" spans="2:2">
      <c r="B12420" s="3"/>
    </row>
    <row r="12421" spans="2:2">
      <c r="B12421" s="3"/>
    </row>
    <row r="12422" spans="2:2">
      <c r="B12422" s="3"/>
    </row>
    <row r="12423" spans="2:2">
      <c r="B12423" s="3"/>
    </row>
    <row r="12424" spans="2:2">
      <c r="B12424" s="3"/>
    </row>
    <row r="12425" spans="2:2">
      <c r="B12425" s="3"/>
    </row>
    <row r="12426" spans="2:2">
      <c r="B12426" s="3"/>
    </row>
    <row r="12427" spans="2:2">
      <c r="B12427" s="3"/>
    </row>
    <row r="12428" spans="2:2">
      <c r="B12428" s="3"/>
    </row>
    <row r="12429" spans="2:2">
      <c r="B12429" s="3"/>
    </row>
    <row r="12430" spans="2:2">
      <c r="B12430" s="3"/>
    </row>
    <row r="12431" spans="2:2">
      <c r="B12431" s="3"/>
    </row>
    <row r="12432" spans="2:2">
      <c r="B12432" s="3"/>
    </row>
    <row r="12433" spans="2:2">
      <c r="B12433" s="3"/>
    </row>
    <row r="12434" spans="2:2">
      <c r="B12434" s="3"/>
    </row>
    <row r="12435" spans="2:2">
      <c r="B12435" s="3"/>
    </row>
    <row r="12436" spans="2:2">
      <c r="B12436" s="3"/>
    </row>
    <row r="12437" spans="2:2">
      <c r="B12437" s="3"/>
    </row>
    <row r="12438" spans="2:2">
      <c r="B12438" s="3"/>
    </row>
    <row r="12439" spans="2:2">
      <c r="B12439" s="3"/>
    </row>
    <row r="12440" spans="2:2">
      <c r="B12440" s="3"/>
    </row>
    <row r="12441" spans="2:2">
      <c r="B12441" s="3"/>
    </row>
    <row r="12442" spans="2:2">
      <c r="B12442" s="3"/>
    </row>
    <row r="12443" spans="2:2">
      <c r="B12443" s="3"/>
    </row>
    <row r="12444" spans="2:2">
      <c r="B12444" s="3"/>
    </row>
    <row r="12445" spans="2:2">
      <c r="B12445" s="3"/>
    </row>
    <row r="12446" spans="2:2">
      <c r="B12446" s="3"/>
    </row>
    <row r="12447" spans="2:2">
      <c r="B12447" s="3"/>
    </row>
    <row r="12448" spans="2:2">
      <c r="B12448" s="3"/>
    </row>
    <row r="12449" spans="2:2">
      <c r="B12449" s="3"/>
    </row>
    <row r="12450" spans="2:2">
      <c r="B12450" s="3"/>
    </row>
    <row r="12451" spans="2:2">
      <c r="B12451" s="3"/>
    </row>
    <row r="12452" spans="2:2">
      <c r="B12452" s="3"/>
    </row>
    <row r="12453" spans="2:2">
      <c r="B12453" s="3"/>
    </row>
    <row r="12454" spans="2:2">
      <c r="B12454" s="3"/>
    </row>
    <row r="12455" spans="2:2">
      <c r="B12455" s="3"/>
    </row>
    <row r="12456" spans="2:2">
      <c r="B12456" s="3"/>
    </row>
    <row r="12457" spans="2:2">
      <c r="B12457" s="3"/>
    </row>
    <row r="12458" spans="2:2">
      <c r="B12458" s="3"/>
    </row>
    <row r="12459" spans="2:2">
      <c r="B12459" s="3"/>
    </row>
    <row r="12460" spans="2:2">
      <c r="B12460" s="3"/>
    </row>
    <row r="12461" spans="2:2">
      <c r="B12461" s="3"/>
    </row>
    <row r="12462" spans="2:2">
      <c r="B12462" s="3"/>
    </row>
    <row r="12463" spans="2:2">
      <c r="B12463" s="3"/>
    </row>
    <row r="12464" spans="2:2">
      <c r="B12464" s="3"/>
    </row>
    <row r="12465" spans="2:2">
      <c r="B12465" s="3"/>
    </row>
    <row r="12466" spans="2:2">
      <c r="B12466" s="3"/>
    </row>
    <row r="12467" spans="2:2">
      <c r="B12467" s="3"/>
    </row>
    <row r="12468" spans="2:2">
      <c r="B12468" s="3"/>
    </row>
    <row r="12469" spans="2:2">
      <c r="B12469" s="3"/>
    </row>
    <row r="12470" spans="2:2">
      <c r="B12470" s="3"/>
    </row>
    <row r="12471" spans="2:2">
      <c r="B12471" s="3"/>
    </row>
    <row r="12472" spans="2:2">
      <c r="B12472" s="3"/>
    </row>
    <row r="12473" spans="2:2">
      <c r="B12473" s="3"/>
    </row>
    <row r="12474" spans="2:2">
      <c r="B12474" s="3"/>
    </row>
    <row r="12475" spans="2:2">
      <c r="B12475" s="3"/>
    </row>
    <row r="12476" spans="2:2">
      <c r="B12476" s="3"/>
    </row>
    <row r="12477" spans="2:2">
      <c r="B12477" s="3"/>
    </row>
    <row r="12478" spans="2:2">
      <c r="B12478" s="3"/>
    </row>
    <row r="12479" spans="2:2">
      <c r="B12479" s="3"/>
    </row>
    <row r="12480" spans="2:2">
      <c r="B12480" s="3"/>
    </row>
    <row r="12481" spans="2:2">
      <c r="B12481" s="3"/>
    </row>
    <row r="12482" spans="2:2">
      <c r="B12482" s="3"/>
    </row>
    <row r="12483" spans="2:2">
      <c r="B12483" s="3"/>
    </row>
    <row r="12484" spans="2:2">
      <c r="B12484" s="3"/>
    </row>
    <row r="12485" spans="2:2">
      <c r="B12485" s="3"/>
    </row>
    <row r="12486" spans="2:2">
      <c r="B12486" s="3"/>
    </row>
    <row r="12487" spans="2:2">
      <c r="B12487" s="3"/>
    </row>
    <row r="12488" spans="2:2">
      <c r="B12488" s="3"/>
    </row>
    <row r="12489" spans="2:2">
      <c r="B12489" s="3"/>
    </row>
    <row r="12490" spans="2:2">
      <c r="B12490" s="3"/>
    </row>
    <row r="12491" spans="2:2">
      <c r="B12491" s="3"/>
    </row>
    <row r="12492" spans="2:2">
      <c r="B12492" s="3"/>
    </row>
    <row r="12493" spans="2:2">
      <c r="B12493" s="3"/>
    </row>
    <row r="12494" spans="2:2">
      <c r="B12494" s="3"/>
    </row>
    <row r="12495" spans="2:2">
      <c r="B12495" s="3"/>
    </row>
    <row r="12496" spans="2:2">
      <c r="B12496" s="3"/>
    </row>
    <row r="12497" spans="2:2">
      <c r="B12497" s="3"/>
    </row>
    <row r="12498" spans="2:2">
      <c r="B12498" s="3"/>
    </row>
    <row r="12499" spans="2:2">
      <c r="B12499" s="3"/>
    </row>
    <row r="12500" spans="2:2">
      <c r="B12500" s="3"/>
    </row>
    <row r="12501" spans="2:2">
      <c r="B12501" s="3"/>
    </row>
    <row r="12502" spans="2:2">
      <c r="B12502" s="3"/>
    </row>
    <row r="12503" spans="2:2">
      <c r="B12503" s="3"/>
    </row>
    <row r="12504" spans="2:2">
      <c r="B12504" s="3"/>
    </row>
    <row r="12505" spans="2:2">
      <c r="B12505" s="3"/>
    </row>
    <row r="12506" spans="2:2">
      <c r="B12506" s="3"/>
    </row>
    <row r="12507" spans="2:2">
      <c r="B12507" s="3"/>
    </row>
    <row r="12508" spans="2:2">
      <c r="B12508" s="3"/>
    </row>
    <row r="12509" spans="2:2">
      <c r="B12509" s="3"/>
    </row>
    <row r="12510" spans="2:2">
      <c r="B12510" s="3"/>
    </row>
    <row r="12511" spans="2:2">
      <c r="B12511" s="3"/>
    </row>
    <row r="12512" spans="2:2">
      <c r="B12512" s="3"/>
    </row>
    <row r="12513" spans="2:2">
      <c r="B12513" s="3"/>
    </row>
    <row r="12514" spans="2:2">
      <c r="B12514" s="3"/>
    </row>
    <row r="12515" spans="2:2">
      <c r="B12515" s="3"/>
    </row>
    <row r="12516" spans="2:2">
      <c r="B12516" s="3"/>
    </row>
    <row r="12517" spans="2:2">
      <c r="B12517" s="3"/>
    </row>
    <row r="12518" spans="2:2">
      <c r="B12518" s="3"/>
    </row>
    <row r="12519" spans="2:2">
      <c r="B12519" s="3"/>
    </row>
    <row r="12520" spans="2:2">
      <c r="B12520" s="3"/>
    </row>
    <row r="12521" spans="2:2">
      <c r="B12521" s="3"/>
    </row>
    <row r="12522" spans="2:2">
      <c r="B12522" s="3"/>
    </row>
    <row r="12523" spans="2:2">
      <c r="B12523" s="3"/>
    </row>
    <row r="12524" spans="2:2">
      <c r="B12524" s="3"/>
    </row>
    <row r="12525" spans="2:2">
      <c r="B12525" s="3"/>
    </row>
    <row r="12526" spans="2:2">
      <c r="B12526" s="3"/>
    </row>
    <row r="12527" spans="2:2">
      <c r="B12527" s="3"/>
    </row>
    <row r="12528" spans="2:2">
      <c r="B12528" s="3"/>
    </row>
    <row r="12529" spans="2:2">
      <c r="B12529" s="3"/>
    </row>
    <row r="12530" spans="2:2">
      <c r="B12530" s="3"/>
    </row>
    <row r="12531" spans="2:2">
      <c r="B12531" s="3"/>
    </row>
    <row r="12532" spans="2:2">
      <c r="B12532" s="3"/>
    </row>
    <row r="12533" spans="2:2">
      <c r="B12533" s="3"/>
    </row>
    <row r="12534" spans="2:2">
      <c r="B12534" s="3"/>
    </row>
    <row r="12535" spans="2:2">
      <c r="B12535" s="3"/>
    </row>
    <row r="12536" spans="2:2">
      <c r="B12536" s="3"/>
    </row>
    <row r="12537" spans="2:2">
      <c r="B12537" s="3"/>
    </row>
    <row r="12538" spans="2:2">
      <c r="B12538" s="3"/>
    </row>
    <row r="12539" spans="2:2">
      <c r="B12539" s="3"/>
    </row>
    <row r="12540" spans="2:2">
      <c r="B12540" s="3"/>
    </row>
    <row r="12541" spans="2:2">
      <c r="B12541" s="3"/>
    </row>
    <row r="12542" spans="2:2">
      <c r="B12542" s="3"/>
    </row>
    <row r="12543" spans="2:2">
      <c r="B12543" s="3"/>
    </row>
    <row r="12544" spans="2:2">
      <c r="B12544" s="3"/>
    </row>
    <row r="12545" spans="2:2">
      <c r="B12545" s="3"/>
    </row>
    <row r="12546" spans="2:2">
      <c r="B12546" s="3"/>
    </row>
    <row r="12547" spans="2:2">
      <c r="B12547" s="3"/>
    </row>
    <row r="12548" spans="2:2">
      <c r="B12548" s="3"/>
    </row>
    <row r="12549" spans="2:2">
      <c r="B12549" s="3"/>
    </row>
    <row r="12550" spans="2:2">
      <c r="B12550" s="3"/>
    </row>
    <row r="12551" spans="2:2">
      <c r="B12551" s="3"/>
    </row>
    <row r="12552" spans="2:2">
      <c r="B12552" s="3"/>
    </row>
    <row r="12553" spans="2:2">
      <c r="B12553" s="3"/>
    </row>
    <row r="12554" spans="2:2">
      <c r="B12554" s="3"/>
    </row>
    <row r="12555" spans="2:2">
      <c r="B12555" s="3"/>
    </row>
    <row r="12556" spans="2:2">
      <c r="B12556" s="3"/>
    </row>
    <row r="12557" spans="2:2">
      <c r="B12557" s="3"/>
    </row>
    <row r="12558" spans="2:2">
      <c r="B12558" s="3"/>
    </row>
    <row r="12559" spans="2:2">
      <c r="B12559" s="3"/>
    </row>
    <row r="12560" spans="2:2">
      <c r="B12560" s="3"/>
    </row>
    <row r="12561" spans="2:2">
      <c r="B12561" s="3"/>
    </row>
    <row r="12562" spans="2:2">
      <c r="B12562" s="3"/>
    </row>
    <row r="12563" spans="2:2">
      <c r="B12563" s="3"/>
    </row>
    <row r="12564" spans="2:2">
      <c r="B12564" s="3"/>
    </row>
    <row r="12565" spans="2:2">
      <c r="B12565" s="3"/>
    </row>
    <row r="12566" spans="2:2">
      <c r="B12566" s="3"/>
    </row>
    <row r="12567" spans="2:2">
      <c r="B12567" s="3"/>
    </row>
    <row r="12568" spans="2:2">
      <c r="B12568" s="3"/>
    </row>
    <row r="12569" spans="2:2">
      <c r="B12569" s="3"/>
    </row>
    <row r="12570" spans="2:2">
      <c r="B12570" s="3"/>
    </row>
    <row r="12571" spans="2:2">
      <c r="B12571" s="3"/>
    </row>
    <row r="12572" spans="2:2">
      <c r="B12572" s="3"/>
    </row>
    <row r="12573" spans="2:2">
      <c r="B12573" s="3"/>
    </row>
    <row r="12574" spans="2:2">
      <c r="B12574" s="3"/>
    </row>
    <row r="12575" spans="2:2">
      <c r="B12575" s="3"/>
    </row>
    <row r="12576" spans="2:2">
      <c r="B12576" s="3"/>
    </row>
    <row r="12577" spans="2:2">
      <c r="B12577" s="3"/>
    </row>
    <row r="12578" spans="2:2">
      <c r="B12578" s="3"/>
    </row>
    <row r="12579" spans="2:2">
      <c r="B12579" s="3"/>
    </row>
    <row r="12580" spans="2:2">
      <c r="B12580" s="3"/>
    </row>
    <row r="12581" spans="2:2">
      <c r="B12581" s="3"/>
    </row>
    <row r="12582" spans="2:2">
      <c r="B12582" s="3"/>
    </row>
    <row r="12583" spans="2:2">
      <c r="B12583" s="3"/>
    </row>
    <row r="12584" spans="2:2">
      <c r="B12584" s="3"/>
    </row>
    <row r="12585" spans="2:2">
      <c r="B12585" s="3"/>
    </row>
    <row r="12586" spans="2:2">
      <c r="B12586" s="3"/>
    </row>
    <row r="12587" spans="2:2">
      <c r="B12587" s="3"/>
    </row>
    <row r="12588" spans="2:2">
      <c r="B12588" s="3"/>
    </row>
    <row r="12589" spans="2:2">
      <c r="B12589" s="3"/>
    </row>
    <row r="12590" spans="2:2">
      <c r="B12590" s="3"/>
    </row>
    <row r="12591" spans="2:2">
      <c r="B12591" s="3"/>
    </row>
    <row r="12592" spans="2:2">
      <c r="B12592" s="3"/>
    </row>
    <row r="12593" spans="2:2">
      <c r="B12593" s="3"/>
    </row>
    <row r="12594" spans="2:2">
      <c r="B12594" s="3"/>
    </row>
    <row r="12595" spans="2:2">
      <c r="B12595" s="3"/>
    </row>
    <row r="12596" spans="2:2">
      <c r="B12596" s="3"/>
    </row>
    <row r="12597" spans="2:2">
      <c r="B12597" s="3"/>
    </row>
    <row r="12598" spans="2:2">
      <c r="B12598" s="3"/>
    </row>
    <row r="12599" spans="2:2">
      <c r="B12599" s="3"/>
    </row>
    <row r="12600" spans="2:2">
      <c r="B12600" s="3"/>
    </row>
    <row r="12601" spans="2:2">
      <c r="B12601" s="3"/>
    </row>
    <row r="12602" spans="2:2">
      <c r="B12602" s="3"/>
    </row>
    <row r="12603" spans="2:2">
      <c r="B12603" s="3"/>
    </row>
    <row r="12604" spans="2:2">
      <c r="B12604" s="3"/>
    </row>
    <row r="12605" spans="2:2">
      <c r="B12605" s="3"/>
    </row>
    <row r="12606" spans="2:2">
      <c r="B12606" s="3"/>
    </row>
    <row r="12607" spans="2:2">
      <c r="B12607" s="3"/>
    </row>
    <row r="12608" spans="2:2">
      <c r="B12608" s="3"/>
    </row>
    <row r="12609" spans="2:2">
      <c r="B12609" s="3"/>
    </row>
    <row r="12610" spans="2:2">
      <c r="B12610" s="3"/>
    </row>
    <row r="12611" spans="2:2">
      <c r="B12611" s="3"/>
    </row>
    <row r="12612" spans="2:2">
      <c r="B12612" s="3"/>
    </row>
    <row r="12613" spans="2:2">
      <c r="B12613" s="3"/>
    </row>
    <row r="12614" spans="2:2">
      <c r="B12614" s="3"/>
    </row>
    <row r="12615" spans="2:2">
      <c r="B12615" s="3"/>
    </row>
    <row r="12616" spans="2:2">
      <c r="B12616" s="3"/>
    </row>
    <row r="12617" spans="2:2">
      <c r="B12617" s="3"/>
    </row>
    <row r="12618" spans="2:2">
      <c r="B12618" s="3"/>
    </row>
    <row r="12619" spans="2:2">
      <c r="B12619" s="3"/>
    </row>
    <row r="12620" spans="2:2">
      <c r="B12620" s="3"/>
    </row>
    <row r="12621" spans="2:2">
      <c r="B12621" s="3"/>
    </row>
    <row r="12622" spans="2:2">
      <c r="B12622" s="3"/>
    </row>
    <row r="12623" spans="2:2">
      <c r="B12623" s="3"/>
    </row>
    <row r="12624" spans="2:2">
      <c r="B12624" s="3"/>
    </row>
    <row r="12625" spans="2:2">
      <c r="B12625" s="3"/>
    </row>
    <row r="12626" spans="2:2">
      <c r="B12626" s="3"/>
    </row>
    <row r="12627" spans="2:2">
      <c r="B12627" s="3"/>
    </row>
    <row r="12628" spans="2:2">
      <c r="B12628" s="3"/>
    </row>
    <row r="12629" spans="2:2">
      <c r="B12629" s="3"/>
    </row>
    <row r="12630" spans="2:2">
      <c r="B12630" s="3"/>
    </row>
    <row r="12631" spans="2:2">
      <c r="B12631" s="3"/>
    </row>
    <row r="12632" spans="2:2">
      <c r="B12632" s="3"/>
    </row>
    <row r="12633" spans="2:2">
      <c r="B12633" s="3"/>
    </row>
    <row r="12634" spans="2:2">
      <c r="B12634" s="3"/>
    </row>
    <row r="12635" spans="2:2">
      <c r="B12635" s="3"/>
    </row>
    <row r="12636" spans="2:2">
      <c r="B12636" s="3"/>
    </row>
    <row r="12637" spans="2:2">
      <c r="B12637" s="3"/>
    </row>
    <row r="12638" spans="2:2">
      <c r="B12638" s="3"/>
    </row>
    <row r="12639" spans="2:2">
      <c r="B12639" s="3"/>
    </row>
    <row r="12640" spans="2:2">
      <c r="B12640" s="3"/>
    </row>
    <row r="12641" spans="2:2">
      <c r="B12641" s="3"/>
    </row>
    <row r="12642" spans="2:2">
      <c r="B12642" s="3"/>
    </row>
    <row r="12643" spans="2:2">
      <c r="B12643" s="3"/>
    </row>
    <row r="12644" spans="2:2">
      <c r="B12644" s="3"/>
    </row>
    <row r="12645" spans="2:2">
      <c r="B12645" s="3"/>
    </row>
    <row r="12646" spans="2:2">
      <c r="B12646" s="3"/>
    </row>
    <row r="12647" spans="2:2">
      <c r="B12647" s="3"/>
    </row>
    <row r="12648" spans="2:2">
      <c r="B12648" s="3"/>
    </row>
    <row r="12649" spans="2:2">
      <c r="B12649" s="3"/>
    </row>
    <row r="12650" spans="2:2">
      <c r="B12650" s="3"/>
    </row>
    <row r="12651" spans="2:2">
      <c r="B12651" s="3"/>
    </row>
    <row r="12652" spans="2:2">
      <c r="B12652" s="3"/>
    </row>
    <row r="12653" spans="2:2">
      <c r="B12653" s="3"/>
    </row>
    <row r="12654" spans="2:2">
      <c r="B12654" s="3"/>
    </row>
    <row r="12655" spans="2:2">
      <c r="B12655" s="3"/>
    </row>
    <row r="12656" spans="2:2">
      <c r="B12656" s="3"/>
    </row>
    <row r="12657" spans="2:2">
      <c r="B12657" s="3"/>
    </row>
    <row r="12658" spans="2:2">
      <c r="B12658" s="3"/>
    </row>
    <row r="12659" spans="2:2">
      <c r="B12659" s="3"/>
    </row>
    <row r="12660" spans="2:2">
      <c r="B12660" s="3"/>
    </row>
    <row r="12661" spans="2:2">
      <c r="B12661" s="3"/>
    </row>
    <row r="12662" spans="2:2">
      <c r="B12662" s="3"/>
    </row>
    <row r="12663" spans="2:2">
      <c r="B12663" s="3"/>
    </row>
    <row r="12664" spans="2:2">
      <c r="B12664" s="3"/>
    </row>
    <row r="12665" spans="2:2">
      <c r="B12665" s="3"/>
    </row>
    <row r="12666" spans="2:2">
      <c r="B12666" s="3"/>
    </row>
    <row r="12667" spans="2:2">
      <c r="B12667" s="3"/>
    </row>
    <row r="12668" spans="2:2">
      <c r="B12668" s="3"/>
    </row>
    <row r="12669" spans="2:2">
      <c r="B12669" s="3"/>
    </row>
    <row r="12670" spans="2:2">
      <c r="B12670" s="3"/>
    </row>
    <row r="12671" spans="2:2">
      <c r="B12671" s="3"/>
    </row>
    <row r="12672" spans="2:2">
      <c r="B12672" s="3"/>
    </row>
    <row r="12673" spans="2:2">
      <c r="B12673" s="3"/>
    </row>
    <row r="12674" spans="2:2">
      <c r="B12674" s="3"/>
    </row>
    <row r="12675" spans="2:2">
      <c r="B12675" s="3"/>
    </row>
    <row r="12676" spans="2:2">
      <c r="B12676" s="3"/>
    </row>
    <row r="12677" spans="2:2">
      <c r="B12677" s="3"/>
    </row>
    <row r="12678" spans="2:2">
      <c r="B12678" s="3"/>
    </row>
    <row r="12679" spans="2:2">
      <c r="B12679" s="3"/>
    </row>
    <row r="12680" spans="2:2">
      <c r="B12680" s="3"/>
    </row>
    <row r="12681" spans="2:2">
      <c r="B12681" s="3"/>
    </row>
    <row r="12682" spans="2:2">
      <c r="B12682" s="3"/>
    </row>
    <row r="12683" spans="2:2">
      <c r="B12683" s="3"/>
    </row>
    <row r="12684" spans="2:2">
      <c r="B12684" s="3"/>
    </row>
    <row r="12685" spans="2:2">
      <c r="B12685" s="3"/>
    </row>
    <row r="12686" spans="2:2">
      <c r="B12686" s="3"/>
    </row>
    <row r="12687" spans="2:2">
      <c r="B12687" s="3"/>
    </row>
    <row r="12688" spans="2:2">
      <c r="B12688" s="3"/>
    </row>
    <row r="12689" spans="2:2">
      <c r="B12689" s="3"/>
    </row>
    <row r="12690" spans="2:2">
      <c r="B12690" s="3"/>
    </row>
    <row r="12691" spans="2:2">
      <c r="B12691" s="3"/>
    </row>
    <row r="12692" spans="2:2">
      <c r="B12692" s="3"/>
    </row>
    <row r="12693" spans="2:2">
      <c r="B12693" s="3"/>
    </row>
    <row r="12694" spans="2:2">
      <c r="B12694" s="3"/>
    </row>
    <row r="12695" spans="2:2">
      <c r="B12695" s="3"/>
    </row>
    <row r="12696" spans="2:2">
      <c r="B12696" s="3"/>
    </row>
    <row r="12697" spans="2:2">
      <c r="B12697" s="3"/>
    </row>
    <row r="12698" spans="2:2">
      <c r="B12698" s="3"/>
    </row>
    <row r="12699" spans="2:2">
      <c r="B12699" s="3"/>
    </row>
    <row r="12700" spans="2:2">
      <c r="B12700" s="3"/>
    </row>
    <row r="12701" spans="2:2">
      <c r="B12701" s="3"/>
    </row>
    <row r="12702" spans="2:2">
      <c r="B12702" s="3"/>
    </row>
    <row r="12703" spans="2:2">
      <c r="B12703" s="3"/>
    </row>
    <row r="12704" spans="2:2">
      <c r="B12704" s="3"/>
    </row>
    <row r="12705" spans="2:2">
      <c r="B12705" s="3"/>
    </row>
    <row r="12706" spans="2:2">
      <c r="B12706" s="3"/>
    </row>
    <row r="12707" spans="2:2">
      <c r="B12707" s="3"/>
    </row>
    <row r="12708" spans="2:2">
      <c r="B12708" s="3"/>
    </row>
    <row r="12709" spans="2:2">
      <c r="B12709" s="3"/>
    </row>
    <row r="12710" spans="2:2">
      <c r="B12710" s="3"/>
    </row>
    <row r="12711" spans="2:2">
      <c r="B12711" s="3"/>
    </row>
    <row r="12712" spans="2:2">
      <c r="B12712" s="3"/>
    </row>
    <row r="12713" spans="2:2">
      <c r="B12713" s="3"/>
    </row>
    <row r="12714" spans="2:2">
      <c r="B12714" s="3"/>
    </row>
    <row r="12715" spans="2:2">
      <c r="B12715" s="3"/>
    </row>
    <row r="12716" spans="2:2">
      <c r="B12716" s="3"/>
    </row>
    <row r="12717" spans="2:2">
      <c r="B12717" s="3"/>
    </row>
    <row r="12718" spans="2:2">
      <c r="B12718" s="3"/>
    </row>
    <row r="12719" spans="2:2">
      <c r="B12719" s="3"/>
    </row>
    <row r="12720" spans="2:2">
      <c r="B12720" s="3"/>
    </row>
    <row r="12721" spans="2:2">
      <c r="B12721" s="3"/>
    </row>
    <row r="12722" spans="2:2">
      <c r="B12722" s="3"/>
    </row>
    <row r="12723" spans="2:2">
      <c r="B12723" s="3"/>
    </row>
    <row r="12724" spans="2:2">
      <c r="B12724" s="3"/>
    </row>
    <row r="12725" spans="2:2">
      <c r="B12725" s="3"/>
    </row>
    <row r="12726" spans="2:2">
      <c r="B12726" s="3"/>
    </row>
    <row r="12727" spans="2:2">
      <c r="B12727" s="3"/>
    </row>
    <row r="12728" spans="2:2">
      <c r="B12728" s="3"/>
    </row>
    <row r="12729" spans="2:2">
      <c r="B12729" s="3"/>
    </row>
    <row r="12730" spans="2:2">
      <c r="B12730" s="3"/>
    </row>
    <row r="12731" spans="2:2">
      <c r="B12731" s="3"/>
    </row>
    <row r="12732" spans="2:2">
      <c r="B12732" s="3"/>
    </row>
    <row r="12733" spans="2:2">
      <c r="B12733" s="3"/>
    </row>
    <row r="12734" spans="2:2">
      <c r="B12734" s="3"/>
    </row>
    <row r="12735" spans="2:2">
      <c r="B12735" s="3"/>
    </row>
    <row r="12736" spans="2:2">
      <c r="B12736" s="3"/>
    </row>
    <row r="12737" spans="2:2">
      <c r="B12737" s="3"/>
    </row>
    <row r="12738" spans="2:2">
      <c r="B12738" s="3"/>
    </row>
    <row r="12739" spans="2:2">
      <c r="B12739" s="3"/>
    </row>
    <row r="12740" spans="2:2">
      <c r="B12740" s="3"/>
    </row>
    <row r="12741" spans="2:2">
      <c r="B12741" s="3"/>
    </row>
    <row r="12742" spans="2:2">
      <c r="B12742" s="3"/>
    </row>
    <row r="12743" spans="2:2">
      <c r="B12743" s="3"/>
    </row>
    <row r="12744" spans="2:2">
      <c r="B12744" s="3"/>
    </row>
    <row r="12745" spans="2:2">
      <c r="B12745" s="3"/>
    </row>
    <row r="12746" spans="2:2">
      <c r="B12746" s="3"/>
    </row>
    <row r="12747" spans="2:2">
      <c r="B12747" s="3"/>
    </row>
    <row r="12748" spans="2:2">
      <c r="B12748" s="3"/>
    </row>
    <row r="12749" spans="2:2">
      <c r="B12749" s="3"/>
    </row>
    <row r="12750" spans="2:2">
      <c r="B12750" s="3"/>
    </row>
    <row r="12751" spans="2:2">
      <c r="B12751" s="3"/>
    </row>
    <row r="12752" spans="2:2">
      <c r="B12752" s="3"/>
    </row>
    <row r="12753" spans="2:2">
      <c r="B12753" s="3"/>
    </row>
    <row r="12754" spans="2:2">
      <c r="B12754" s="3"/>
    </row>
    <row r="12755" spans="2:2">
      <c r="B12755" s="3"/>
    </row>
    <row r="12756" spans="2:2">
      <c r="B12756" s="3"/>
    </row>
    <row r="12757" spans="2:2">
      <c r="B12757" s="3"/>
    </row>
    <row r="12758" spans="2:2">
      <c r="B12758" s="3"/>
    </row>
    <row r="12759" spans="2:2">
      <c r="B12759" s="3"/>
    </row>
    <row r="12760" spans="2:2">
      <c r="B12760" s="3"/>
    </row>
    <row r="12761" spans="2:2">
      <c r="B12761" s="3"/>
    </row>
    <row r="12762" spans="2:2">
      <c r="B12762" s="3"/>
    </row>
    <row r="12763" spans="2:2">
      <c r="B12763" s="3"/>
    </row>
    <row r="12764" spans="2:2">
      <c r="B12764" s="3"/>
    </row>
    <row r="12765" spans="2:2">
      <c r="B12765" s="3"/>
    </row>
    <row r="12766" spans="2:2">
      <c r="B12766" s="3"/>
    </row>
    <row r="12767" spans="2:2">
      <c r="B12767" s="3"/>
    </row>
    <row r="12768" spans="2:2">
      <c r="B12768" s="3"/>
    </row>
    <row r="12769" spans="2:2">
      <c r="B12769" s="3"/>
    </row>
    <row r="12770" spans="2:2">
      <c r="B12770" s="3"/>
    </row>
    <row r="12771" spans="2:2">
      <c r="B12771" s="3"/>
    </row>
    <row r="12772" spans="2:2">
      <c r="B12772" s="3"/>
    </row>
    <row r="12773" spans="2:2">
      <c r="B12773" s="3"/>
    </row>
    <row r="12774" spans="2:2">
      <c r="B12774" s="3"/>
    </row>
    <row r="12775" spans="2:2">
      <c r="B12775" s="3"/>
    </row>
    <row r="12776" spans="2:2">
      <c r="B12776" s="3"/>
    </row>
    <row r="12777" spans="2:2">
      <c r="B12777" s="3"/>
    </row>
    <row r="12778" spans="2:2">
      <c r="B12778" s="3"/>
    </row>
    <row r="12779" spans="2:2">
      <c r="B12779" s="3"/>
    </row>
    <row r="12780" spans="2:2">
      <c r="B12780" s="3"/>
    </row>
    <row r="12781" spans="2:2">
      <c r="B12781" s="3"/>
    </row>
    <row r="12782" spans="2:2">
      <c r="B12782" s="3"/>
    </row>
    <row r="12783" spans="2:2">
      <c r="B12783" s="3"/>
    </row>
    <row r="12784" spans="2:2">
      <c r="B12784" s="3"/>
    </row>
    <row r="12785" spans="2:2">
      <c r="B12785" s="3"/>
    </row>
    <row r="12786" spans="2:2">
      <c r="B12786" s="3"/>
    </row>
    <row r="12787" spans="2:2">
      <c r="B12787" s="3"/>
    </row>
    <row r="12788" spans="2:2">
      <c r="B12788" s="3"/>
    </row>
    <row r="12789" spans="2:2">
      <c r="B12789" s="3"/>
    </row>
    <row r="12790" spans="2:2">
      <c r="B12790" s="3"/>
    </row>
    <row r="12791" spans="2:2">
      <c r="B12791" s="3"/>
    </row>
    <row r="12792" spans="2:2">
      <c r="B12792" s="3"/>
    </row>
    <row r="12793" spans="2:2">
      <c r="B12793" s="3"/>
    </row>
    <row r="12794" spans="2:2">
      <c r="B12794" s="3"/>
    </row>
    <row r="12795" spans="2:2">
      <c r="B12795" s="3"/>
    </row>
    <row r="12796" spans="2:2">
      <c r="B12796" s="3"/>
    </row>
    <row r="12797" spans="2:2">
      <c r="B12797" s="3"/>
    </row>
    <row r="12798" spans="2:2">
      <c r="B12798" s="3"/>
    </row>
    <row r="12799" spans="2:2">
      <c r="B12799" s="3"/>
    </row>
    <row r="12800" spans="2:2">
      <c r="B12800" s="3"/>
    </row>
    <row r="12801" spans="2:2">
      <c r="B12801" s="3"/>
    </row>
    <row r="12802" spans="2:2">
      <c r="B12802" s="3"/>
    </row>
    <row r="12803" spans="2:2">
      <c r="B12803" s="3"/>
    </row>
    <row r="12804" spans="2:2">
      <c r="B12804" s="3"/>
    </row>
    <row r="12805" spans="2:2">
      <c r="B12805" s="3"/>
    </row>
    <row r="12806" spans="2:2">
      <c r="B12806" s="3"/>
    </row>
    <row r="12807" spans="2:2">
      <c r="B12807" s="3"/>
    </row>
    <row r="12808" spans="2:2">
      <c r="B12808" s="3"/>
    </row>
    <row r="12809" spans="2:2">
      <c r="B12809" s="3"/>
    </row>
    <row r="12810" spans="2:2">
      <c r="B12810" s="3"/>
    </row>
    <row r="12811" spans="2:2">
      <c r="B12811" s="3"/>
    </row>
    <row r="12812" spans="2:2">
      <c r="B12812" s="3"/>
    </row>
    <row r="12813" spans="2:2">
      <c r="B12813" s="3"/>
    </row>
    <row r="12814" spans="2:2">
      <c r="B12814" s="3"/>
    </row>
    <row r="12815" spans="2:2">
      <c r="B12815" s="3"/>
    </row>
    <row r="12816" spans="2:2">
      <c r="B12816" s="3"/>
    </row>
    <row r="12817" spans="2:2">
      <c r="B12817" s="3"/>
    </row>
    <row r="12818" spans="2:2">
      <c r="B12818" s="3"/>
    </row>
    <row r="12819" spans="2:2">
      <c r="B12819" s="3"/>
    </row>
    <row r="12820" spans="2:2">
      <c r="B12820" s="3"/>
    </row>
    <row r="12821" spans="2:2">
      <c r="B12821" s="3"/>
    </row>
    <row r="12822" spans="2:2">
      <c r="B12822" s="3"/>
    </row>
    <row r="12823" spans="2:2">
      <c r="B12823" s="3"/>
    </row>
    <row r="12824" spans="2:2">
      <c r="B12824" s="3"/>
    </row>
    <row r="12825" spans="2:2">
      <c r="B12825" s="3"/>
    </row>
    <row r="12826" spans="2:2">
      <c r="B12826" s="3"/>
    </row>
    <row r="12827" spans="2:2">
      <c r="B12827" s="3"/>
    </row>
    <row r="12828" spans="2:2">
      <c r="B12828" s="3"/>
    </row>
    <row r="12829" spans="2:2">
      <c r="B12829" s="3"/>
    </row>
    <row r="12830" spans="2:2">
      <c r="B12830" s="3"/>
    </row>
    <row r="12831" spans="2:2">
      <c r="B12831" s="3"/>
    </row>
    <row r="12832" spans="2:2">
      <c r="B12832" s="3"/>
    </row>
    <row r="12833" spans="2:2">
      <c r="B12833" s="3"/>
    </row>
    <row r="12834" spans="2:2">
      <c r="B12834" s="3"/>
    </row>
    <row r="12835" spans="2:2">
      <c r="B12835" s="3"/>
    </row>
    <row r="12836" spans="2:2">
      <c r="B12836" s="3"/>
    </row>
    <row r="12837" spans="2:2">
      <c r="B12837" s="3"/>
    </row>
    <row r="12838" spans="2:2">
      <c r="B12838" s="3"/>
    </row>
    <row r="12839" spans="2:2">
      <c r="B12839" s="3"/>
    </row>
    <row r="12840" spans="2:2">
      <c r="B12840" s="3"/>
    </row>
    <row r="12841" spans="2:2">
      <c r="B12841" s="3"/>
    </row>
    <row r="12842" spans="2:2">
      <c r="B12842" s="3"/>
    </row>
    <row r="12843" spans="2:2">
      <c r="B12843" s="3"/>
    </row>
    <row r="12844" spans="2:2">
      <c r="B12844" s="3"/>
    </row>
    <row r="12845" spans="2:2">
      <c r="B12845" s="3"/>
    </row>
    <row r="12846" spans="2:2">
      <c r="B12846" s="3"/>
    </row>
    <row r="12847" spans="2:2">
      <c r="B12847" s="3"/>
    </row>
    <row r="12848" spans="2:2">
      <c r="B12848" s="3"/>
    </row>
    <row r="12849" spans="2:2">
      <c r="B12849" s="3"/>
    </row>
    <row r="12850" spans="2:2">
      <c r="B12850" s="3"/>
    </row>
    <row r="12851" spans="2:2">
      <c r="B12851" s="3"/>
    </row>
    <row r="12852" spans="2:2">
      <c r="B12852" s="3"/>
    </row>
    <row r="12853" spans="2:2">
      <c r="B12853" s="3"/>
    </row>
    <row r="12854" spans="2:2">
      <c r="B12854" s="3"/>
    </row>
    <row r="12855" spans="2:2">
      <c r="B12855" s="3"/>
    </row>
    <row r="12856" spans="2:2">
      <c r="B12856" s="3"/>
    </row>
    <row r="12857" spans="2:2">
      <c r="B12857" s="3"/>
    </row>
    <row r="12858" spans="2:2">
      <c r="B12858" s="3"/>
    </row>
    <row r="12859" spans="2:2">
      <c r="B12859" s="3"/>
    </row>
    <row r="12860" spans="2:2">
      <c r="B12860" s="3"/>
    </row>
    <row r="12861" spans="2:2">
      <c r="B12861" s="3"/>
    </row>
    <row r="12862" spans="2:2">
      <c r="B12862" s="3"/>
    </row>
    <row r="12863" spans="2:2">
      <c r="B12863" s="3"/>
    </row>
    <row r="12864" spans="2:2">
      <c r="B12864" s="3"/>
    </row>
    <row r="12865" spans="2:2">
      <c r="B12865" s="3"/>
    </row>
    <row r="12866" spans="2:2">
      <c r="B12866" s="3"/>
    </row>
    <row r="12867" spans="2:2">
      <c r="B12867" s="3"/>
    </row>
    <row r="12868" spans="2:2">
      <c r="B12868" s="3"/>
    </row>
    <row r="12869" spans="2:2">
      <c r="B12869" s="3"/>
    </row>
    <row r="12870" spans="2:2">
      <c r="B12870" s="3"/>
    </row>
    <row r="12871" spans="2:2">
      <c r="B12871" s="3"/>
    </row>
    <row r="12872" spans="2:2">
      <c r="B12872" s="3"/>
    </row>
    <row r="12873" spans="2:2">
      <c r="B12873" s="3"/>
    </row>
    <row r="12874" spans="2:2">
      <c r="B12874" s="3"/>
    </row>
    <row r="12875" spans="2:2">
      <c r="B12875" s="3"/>
    </row>
    <row r="12876" spans="2:2">
      <c r="B12876" s="3"/>
    </row>
    <row r="12877" spans="2:2">
      <c r="B12877" s="3"/>
    </row>
    <row r="12878" spans="2:2">
      <c r="B12878" s="3"/>
    </row>
    <row r="12879" spans="2:2">
      <c r="B12879" s="3"/>
    </row>
    <row r="12880" spans="2:2">
      <c r="B12880" s="3"/>
    </row>
    <row r="12881" spans="2:2">
      <c r="B12881" s="3"/>
    </row>
    <row r="12882" spans="2:2">
      <c r="B12882" s="3"/>
    </row>
    <row r="12883" spans="2:2">
      <c r="B12883" s="3"/>
    </row>
    <row r="12884" spans="2:2">
      <c r="B12884" s="3"/>
    </row>
    <row r="12885" spans="2:2">
      <c r="B12885" s="3"/>
    </row>
    <row r="12886" spans="2:2">
      <c r="B12886" s="3"/>
    </row>
    <row r="12887" spans="2:2">
      <c r="B12887" s="3"/>
    </row>
    <row r="12888" spans="2:2">
      <c r="B12888" s="3"/>
    </row>
    <row r="12889" spans="2:2">
      <c r="B12889" s="3"/>
    </row>
    <row r="12890" spans="2:2">
      <c r="B12890" s="3"/>
    </row>
    <row r="12891" spans="2:2">
      <c r="B12891" s="3"/>
    </row>
    <row r="12892" spans="2:2">
      <c r="B12892" s="3"/>
    </row>
    <row r="12893" spans="2:2">
      <c r="B12893" s="3"/>
    </row>
    <row r="12894" spans="2:2">
      <c r="B12894" s="3"/>
    </row>
    <row r="12895" spans="2:2">
      <c r="B12895" s="3"/>
    </row>
    <row r="12896" spans="2:2">
      <c r="B12896" s="3"/>
    </row>
    <row r="12897" spans="2:2">
      <c r="B12897" s="3"/>
    </row>
    <row r="12898" spans="2:2">
      <c r="B12898" s="3"/>
    </row>
    <row r="12899" spans="2:2">
      <c r="B12899" s="3"/>
    </row>
    <row r="12900" spans="2:2">
      <c r="B12900" s="3"/>
    </row>
    <row r="12901" spans="2:2">
      <c r="B12901" s="3"/>
    </row>
    <row r="12902" spans="2:2">
      <c r="B12902" s="3"/>
    </row>
    <row r="12903" spans="2:2">
      <c r="B12903" s="3"/>
    </row>
    <row r="12904" spans="2:2">
      <c r="B12904" s="3"/>
    </row>
    <row r="12905" spans="2:2">
      <c r="B12905" s="3"/>
    </row>
    <row r="12906" spans="2:2">
      <c r="B12906" s="3"/>
    </row>
    <row r="12907" spans="2:2">
      <c r="B12907" s="3"/>
    </row>
    <row r="12908" spans="2:2">
      <c r="B12908" s="3"/>
    </row>
    <row r="12909" spans="2:2">
      <c r="B12909" s="3"/>
    </row>
    <row r="12910" spans="2:2">
      <c r="B12910" s="3"/>
    </row>
    <row r="12911" spans="2:2">
      <c r="B12911" s="3"/>
    </row>
    <row r="12912" spans="2:2">
      <c r="B12912" s="3"/>
    </row>
    <row r="12913" spans="2:2">
      <c r="B12913" s="3"/>
    </row>
    <row r="12914" spans="2:2">
      <c r="B12914" s="3"/>
    </row>
    <row r="12915" spans="2:2">
      <c r="B12915" s="3"/>
    </row>
    <row r="12916" spans="2:2">
      <c r="B12916" s="3"/>
    </row>
    <row r="12917" spans="2:2">
      <c r="B12917" s="3"/>
    </row>
    <row r="12918" spans="2:2">
      <c r="B12918" s="3"/>
    </row>
    <row r="12919" spans="2:2">
      <c r="B12919" s="3"/>
    </row>
    <row r="12920" spans="2:2">
      <c r="B12920" s="3"/>
    </row>
    <row r="12921" spans="2:2">
      <c r="B12921" s="3"/>
    </row>
    <row r="12922" spans="2:2">
      <c r="B12922" s="3"/>
    </row>
    <row r="12923" spans="2:2">
      <c r="B12923" s="3"/>
    </row>
    <row r="12924" spans="2:2">
      <c r="B12924" s="3"/>
    </row>
    <row r="12925" spans="2:2">
      <c r="B12925" s="3"/>
    </row>
    <row r="12926" spans="2:2">
      <c r="B12926" s="3"/>
    </row>
    <row r="12927" spans="2:2">
      <c r="B12927" s="3"/>
    </row>
    <row r="12928" spans="2:2">
      <c r="B12928" s="3"/>
    </row>
    <row r="12929" spans="2:2">
      <c r="B12929" s="3"/>
    </row>
    <row r="12930" spans="2:2">
      <c r="B12930" s="3"/>
    </row>
    <row r="12931" spans="2:2">
      <c r="B12931" s="3"/>
    </row>
    <row r="12932" spans="2:2">
      <c r="B12932" s="3"/>
    </row>
    <row r="12933" spans="2:2">
      <c r="B12933" s="3"/>
    </row>
    <row r="12934" spans="2:2">
      <c r="B12934" s="3"/>
    </row>
    <row r="12935" spans="2:2">
      <c r="B12935" s="3"/>
    </row>
    <row r="12936" spans="2:2">
      <c r="B12936" s="3"/>
    </row>
    <row r="12937" spans="2:2">
      <c r="B12937" s="3"/>
    </row>
    <row r="12938" spans="2:2">
      <c r="B12938" s="3"/>
    </row>
    <row r="12939" spans="2:2">
      <c r="B12939" s="3"/>
    </row>
    <row r="12940" spans="2:2">
      <c r="B12940" s="3"/>
    </row>
    <row r="12941" spans="2:2">
      <c r="B12941" s="3"/>
    </row>
    <row r="12942" spans="2:2">
      <c r="B12942" s="3"/>
    </row>
    <row r="12943" spans="2:2">
      <c r="B12943" s="3"/>
    </row>
    <row r="12944" spans="2:2">
      <c r="B12944" s="3"/>
    </row>
    <row r="12945" spans="2:2">
      <c r="B12945" s="3"/>
    </row>
    <row r="12946" spans="2:2">
      <c r="B12946" s="3"/>
    </row>
    <row r="12947" spans="2:2">
      <c r="B12947" s="3"/>
    </row>
    <row r="12948" spans="2:2">
      <c r="B12948" s="3"/>
    </row>
    <row r="12949" spans="2:2">
      <c r="B12949" s="3"/>
    </row>
    <row r="12950" spans="2:2">
      <c r="B12950" s="3"/>
    </row>
    <row r="12951" spans="2:2">
      <c r="B12951" s="3"/>
    </row>
    <row r="12952" spans="2:2">
      <c r="B12952" s="3"/>
    </row>
    <row r="12953" spans="2:2">
      <c r="B12953" s="3"/>
    </row>
    <row r="12954" spans="2:2">
      <c r="B12954" s="3"/>
    </row>
    <row r="12955" spans="2:2">
      <c r="B12955" s="3"/>
    </row>
    <row r="12956" spans="2:2">
      <c r="B12956" s="3"/>
    </row>
    <row r="12957" spans="2:2">
      <c r="B12957" s="3"/>
    </row>
    <row r="12958" spans="2:2">
      <c r="B12958" s="3"/>
    </row>
    <row r="12959" spans="2:2">
      <c r="B12959" s="3"/>
    </row>
    <row r="12960" spans="2:2">
      <c r="B12960" s="3"/>
    </row>
    <row r="12961" spans="2:2">
      <c r="B12961" s="3"/>
    </row>
    <row r="12962" spans="2:2">
      <c r="B12962" s="3"/>
    </row>
    <row r="12963" spans="2:2">
      <c r="B12963" s="3"/>
    </row>
    <row r="12964" spans="2:2">
      <c r="B12964" s="3"/>
    </row>
    <row r="12965" spans="2:2">
      <c r="B12965" s="3"/>
    </row>
    <row r="12966" spans="2:2">
      <c r="B12966" s="3"/>
    </row>
    <row r="12967" spans="2:2">
      <c r="B12967" s="3"/>
    </row>
    <row r="12968" spans="2:2">
      <c r="B12968" s="3"/>
    </row>
    <row r="12969" spans="2:2">
      <c r="B12969" s="3"/>
    </row>
    <row r="12970" spans="2:2">
      <c r="B12970" s="3"/>
    </row>
    <row r="12971" spans="2:2">
      <c r="B12971" s="3"/>
    </row>
    <row r="12972" spans="2:2">
      <c r="B12972" s="3"/>
    </row>
    <row r="12973" spans="2:2">
      <c r="B12973" s="3"/>
    </row>
    <row r="12974" spans="2:2">
      <c r="B12974" s="3"/>
    </row>
    <row r="12975" spans="2:2">
      <c r="B12975" s="3"/>
    </row>
    <row r="12976" spans="2:2">
      <c r="B12976" s="3"/>
    </row>
    <row r="12977" spans="2:2">
      <c r="B12977" s="3"/>
    </row>
    <row r="12978" spans="2:2">
      <c r="B12978" s="3"/>
    </row>
    <row r="12979" spans="2:2">
      <c r="B12979" s="3"/>
    </row>
    <row r="12980" spans="2:2">
      <c r="B12980" s="3"/>
    </row>
    <row r="12981" spans="2:2">
      <c r="B12981" s="3"/>
    </row>
    <row r="12982" spans="2:2">
      <c r="B12982" s="3"/>
    </row>
    <row r="12983" spans="2:2">
      <c r="B12983" s="3"/>
    </row>
    <row r="12984" spans="2:2">
      <c r="B12984" s="3"/>
    </row>
    <row r="12985" spans="2:2">
      <c r="B12985" s="3"/>
    </row>
    <row r="12986" spans="2:2">
      <c r="B12986" s="3"/>
    </row>
    <row r="12987" spans="2:2">
      <c r="B12987" s="3"/>
    </row>
    <row r="12988" spans="2:2">
      <c r="B12988" s="3"/>
    </row>
    <row r="12989" spans="2:2">
      <c r="B12989" s="3"/>
    </row>
    <row r="12990" spans="2:2">
      <c r="B12990" s="3"/>
    </row>
    <row r="12991" spans="2:2">
      <c r="B12991" s="3"/>
    </row>
    <row r="12992" spans="2:2">
      <c r="B12992" s="3"/>
    </row>
    <row r="12993" spans="2:2">
      <c r="B12993" s="3"/>
    </row>
    <row r="12994" spans="2:2">
      <c r="B12994" s="3"/>
    </row>
    <row r="12995" spans="2:2">
      <c r="B12995" s="3"/>
    </row>
    <row r="12996" spans="2:2">
      <c r="B12996" s="3"/>
    </row>
    <row r="12997" spans="2:2">
      <c r="B12997" s="3"/>
    </row>
    <row r="12998" spans="2:2">
      <c r="B12998" s="3"/>
    </row>
    <row r="12999" spans="2:2">
      <c r="B12999" s="3"/>
    </row>
    <row r="13000" spans="2:2">
      <c r="B13000" s="3"/>
    </row>
    <row r="13001" spans="2:2">
      <c r="B13001" s="3"/>
    </row>
    <row r="13002" spans="2:2">
      <c r="B13002" s="3"/>
    </row>
    <row r="13003" spans="2:2">
      <c r="B13003" s="3"/>
    </row>
    <row r="13004" spans="2:2">
      <c r="B13004" s="3"/>
    </row>
    <row r="13005" spans="2:2">
      <c r="B13005" s="3"/>
    </row>
    <row r="13006" spans="2:2">
      <c r="B13006" s="3"/>
    </row>
    <row r="13007" spans="2:2">
      <c r="B13007" s="3"/>
    </row>
    <row r="13008" spans="2:2">
      <c r="B13008" s="3"/>
    </row>
    <row r="13009" spans="2:2">
      <c r="B13009" s="3"/>
    </row>
    <row r="13010" spans="2:2">
      <c r="B13010" s="3"/>
    </row>
    <row r="13011" spans="2:2">
      <c r="B13011" s="3"/>
    </row>
    <row r="13012" spans="2:2">
      <c r="B13012" s="3"/>
    </row>
    <row r="13013" spans="2:2">
      <c r="B13013" s="3"/>
    </row>
    <row r="13014" spans="2:2">
      <c r="B13014" s="3"/>
    </row>
    <row r="13015" spans="2:2">
      <c r="B13015" s="3"/>
    </row>
    <row r="13016" spans="2:2">
      <c r="B13016" s="3"/>
    </row>
    <row r="13017" spans="2:2">
      <c r="B13017" s="3"/>
    </row>
    <row r="13018" spans="2:2">
      <c r="B13018" s="3"/>
    </row>
    <row r="13019" spans="2:2">
      <c r="B13019" s="3"/>
    </row>
    <row r="13020" spans="2:2">
      <c r="B13020" s="3"/>
    </row>
    <row r="13021" spans="2:2">
      <c r="B13021" s="3"/>
    </row>
    <row r="13022" spans="2:2">
      <c r="B13022" s="3"/>
    </row>
    <row r="13023" spans="2:2">
      <c r="B13023" s="3"/>
    </row>
    <row r="13024" spans="2:2">
      <c r="B13024" s="3"/>
    </row>
    <row r="13025" spans="2:2">
      <c r="B13025" s="3"/>
    </row>
    <row r="13026" spans="2:2">
      <c r="B13026" s="3"/>
    </row>
    <row r="13027" spans="2:2">
      <c r="B13027" s="3"/>
    </row>
    <row r="13028" spans="2:2">
      <c r="B13028" s="3"/>
    </row>
    <row r="13029" spans="2:2">
      <c r="B13029" s="3"/>
    </row>
    <row r="13030" spans="2:2">
      <c r="B13030" s="3"/>
    </row>
    <row r="13031" spans="2:2">
      <c r="B13031" s="3"/>
    </row>
    <row r="13032" spans="2:2">
      <c r="B13032" s="3"/>
    </row>
    <row r="13033" spans="2:2">
      <c r="B13033" s="3"/>
    </row>
    <row r="13034" spans="2:2">
      <c r="B13034" s="3"/>
    </row>
    <row r="13035" spans="2:2">
      <c r="B13035" s="3"/>
    </row>
    <row r="13036" spans="2:2">
      <c r="B13036" s="3"/>
    </row>
    <row r="13037" spans="2:2">
      <c r="B13037" s="3"/>
    </row>
    <row r="13038" spans="2:2">
      <c r="B13038" s="3"/>
    </row>
    <row r="13039" spans="2:2">
      <c r="B13039" s="3"/>
    </row>
    <row r="13040" spans="2:2">
      <c r="B13040" s="3"/>
    </row>
    <row r="13041" spans="2:2">
      <c r="B13041" s="3"/>
    </row>
    <row r="13042" spans="2:2">
      <c r="B13042" s="3"/>
    </row>
    <row r="13043" spans="2:2">
      <c r="B13043" s="3"/>
    </row>
    <row r="13044" spans="2:2">
      <c r="B13044" s="3"/>
    </row>
    <row r="13045" spans="2:2">
      <c r="B13045" s="3"/>
    </row>
    <row r="13046" spans="2:2">
      <c r="B13046" s="3"/>
    </row>
    <row r="13047" spans="2:2">
      <c r="B13047" s="3"/>
    </row>
    <row r="13048" spans="2:2">
      <c r="B13048" s="3"/>
    </row>
    <row r="13049" spans="2:2">
      <c r="B13049" s="3"/>
    </row>
    <row r="13050" spans="2:2">
      <c r="B13050" s="3"/>
    </row>
    <row r="13051" spans="2:2">
      <c r="B13051" s="3"/>
    </row>
    <row r="13052" spans="2:2">
      <c r="B13052" s="3"/>
    </row>
    <row r="13053" spans="2:2">
      <c r="B13053" s="3"/>
    </row>
    <row r="13054" spans="2:2">
      <c r="B13054" s="3"/>
    </row>
    <row r="13055" spans="2:2">
      <c r="B13055" s="3"/>
    </row>
    <row r="13056" spans="2:2">
      <c r="B13056" s="3"/>
    </row>
    <row r="13057" spans="2:2">
      <c r="B13057" s="3"/>
    </row>
    <row r="13058" spans="2:2">
      <c r="B13058" s="3"/>
    </row>
    <row r="13059" spans="2:2">
      <c r="B13059" s="3"/>
    </row>
    <row r="13060" spans="2:2">
      <c r="B13060" s="3"/>
    </row>
    <row r="13061" spans="2:2">
      <c r="B13061" s="3"/>
    </row>
    <row r="13062" spans="2:2">
      <c r="B13062" s="3"/>
    </row>
    <row r="13063" spans="2:2">
      <c r="B13063" s="3"/>
    </row>
    <row r="13064" spans="2:2">
      <c r="B13064" s="3"/>
    </row>
    <row r="13065" spans="2:2">
      <c r="B13065" s="3"/>
    </row>
    <row r="13066" spans="2:2">
      <c r="B13066" s="3"/>
    </row>
    <row r="13067" spans="2:2">
      <c r="B13067" s="3"/>
    </row>
    <row r="13068" spans="2:2">
      <c r="B13068" s="3"/>
    </row>
    <row r="13069" spans="2:2">
      <c r="B13069" s="3"/>
    </row>
    <row r="13070" spans="2:2">
      <c r="B13070" s="3"/>
    </row>
    <row r="13071" spans="2:2">
      <c r="B13071" s="3"/>
    </row>
    <row r="13072" spans="2:2">
      <c r="B13072" s="3"/>
    </row>
    <row r="13073" spans="2:2">
      <c r="B13073" s="3"/>
    </row>
    <row r="13074" spans="2:2">
      <c r="B13074" s="3"/>
    </row>
    <row r="13075" spans="2:2">
      <c r="B13075" s="3"/>
    </row>
    <row r="13076" spans="2:2">
      <c r="B13076" s="3"/>
    </row>
    <row r="13077" spans="2:2">
      <c r="B13077" s="3"/>
    </row>
    <row r="13078" spans="2:2">
      <c r="B13078" s="3"/>
    </row>
    <row r="13079" spans="2:2">
      <c r="B13079" s="3"/>
    </row>
    <row r="13080" spans="2:2">
      <c r="B13080" s="3"/>
    </row>
    <row r="13081" spans="2:2">
      <c r="B13081" s="3"/>
    </row>
    <row r="13082" spans="2:2">
      <c r="B13082" s="3"/>
    </row>
    <row r="13083" spans="2:2">
      <c r="B13083" s="3"/>
    </row>
    <row r="13084" spans="2:2">
      <c r="B13084" s="3"/>
    </row>
    <row r="13085" spans="2:2">
      <c r="B13085" s="3"/>
    </row>
    <row r="13086" spans="2:2">
      <c r="B13086" s="3"/>
    </row>
    <row r="13087" spans="2:2">
      <c r="B13087" s="3"/>
    </row>
    <row r="13088" spans="2:2">
      <c r="B13088" s="3"/>
    </row>
    <row r="13089" spans="2:2">
      <c r="B13089" s="3"/>
    </row>
    <row r="13090" spans="2:2">
      <c r="B13090" s="3"/>
    </row>
    <row r="13091" spans="2:2">
      <c r="B13091" s="3"/>
    </row>
    <row r="13092" spans="2:2">
      <c r="B13092" s="3"/>
    </row>
    <row r="13093" spans="2:2">
      <c r="B13093" s="3"/>
    </row>
    <row r="13094" spans="2:2">
      <c r="B13094" s="3"/>
    </row>
    <row r="13095" spans="2:2">
      <c r="B13095" s="3"/>
    </row>
    <row r="13096" spans="2:2">
      <c r="B13096" s="3"/>
    </row>
    <row r="13097" spans="2:2">
      <c r="B13097" s="3"/>
    </row>
    <row r="13098" spans="2:2">
      <c r="B13098" s="3"/>
    </row>
    <row r="13099" spans="2:2">
      <c r="B13099" s="3"/>
    </row>
    <row r="13100" spans="2:2">
      <c r="B13100" s="3"/>
    </row>
    <row r="13101" spans="2:2">
      <c r="B13101" s="3"/>
    </row>
    <row r="13102" spans="2:2">
      <c r="B13102" s="3"/>
    </row>
    <row r="13103" spans="2:2">
      <c r="B13103" s="3"/>
    </row>
    <row r="13104" spans="2:2">
      <c r="B13104" s="3"/>
    </row>
    <row r="13105" spans="2:2">
      <c r="B13105" s="3"/>
    </row>
    <row r="13106" spans="2:2">
      <c r="B13106" s="3"/>
    </row>
    <row r="13107" spans="2:2">
      <c r="B13107" s="3"/>
    </row>
    <row r="13108" spans="2:2">
      <c r="B13108" s="3"/>
    </row>
    <row r="13109" spans="2:2">
      <c r="B13109" s="3"/>
    </row>
    <row r="13110" spans="2:2">
      <c r="B13110" s="3"/>
    </row>
    <row r="13111" spans="2:2">
      <c r="B13111" s="3"/>
    </row>
    <row r="13112" spans="2:2">
      <c r="B13112" s="3"/>
    </row>
    <row r="13113" spans="2:2">
      <c r="B13113" s="3"/>
    </row>
    <row r="13114" spans="2:2">
      <c r="B13114" s="3"/>
    </row>
    <row r="13115" spans="2:2">
      <c r="B13115" s="3"/>
    </row>
    <row r="13116" spans="2:2">
      <c r="B13116" s="3"/>
    </row>
    <row r="13117" spans="2:2">
      <c r="B13117" s="3"/>
    </row>
    <row r="13118" spans="2:2">
      <c r="B13118" s="3"/>
    </row>
    <row r="13119" spans="2:2">
      <c r="B13119" s="3"/>
    </row>
    <row r="13120" spans="2:2">
      <c r="B13120" s="3"/>
    </row>
    <row r="13121" spans="2:2">
      <c r="B13121" s="3"/>
    </row>
    <row r="13122" spans="2:2">
      <c r="B13122" s="3"/>
    </row>
    <row r="13123" spans="2:2">
      <c r="B13123" s="3"/>
    </row>
    <row r="13124" spans="2:2">
      <c r="B13124" s="3"/>
    </row>
    <row r="13125" spans="2:2">
      <c r="B13125" s="3"/>
    </row>
    <row r="13126" spans="2:2">
      <c r="B13126" s="3"/>
    </row>
    <row r="13127" spans="2:2">
      <c r="B13127" s="3"/>
    </row>
    <row r="13128" spans="2:2">
      <c r="B13128" s="3"/>
    </row>
    <row r="13129" spans="2:2">
      <c r="B13129" s="3"/>
    </row>
    <row r="13130" spans="2:2">
      <c r="B13130" s="3"/>
    </row>
    <row r="13131" spans="2:2">
      <c r="B13131" s="3"/>
    </row>
    <row r="13132" spans="2:2">
      <c r="B13132" s="3"/>
    </row>
    <row r="13133" spans="2:2">
      <c r="B13133" s="3"/>
    </row>
    <row r="13134" spans="2:2">
      <c r="B13134" s="3"/>
    </row>
    <row r="13135" spans="2:2">
      <c r="B13135" s="3"/>
    </row>
    <row r="13136" spans="2:2">
      <c r="B13136" s="3"/>
    </row>
    <row r="13137" spans="2:2">
      <c r="B13137" s="3"/>
    </row>
    <row r="13138" spans="2:2">
      <c r="B13138" s="3"/>
    </row>
    <row r="13139" spans="2:2">
      <c r="B13139" s="3"/>
    </row>
    <row r="13140" spans="2:2">
      <c r="B13140" s="3"/>
    </row>
    <row r="13141" spans="2:2">
      <c r="B13141" s="3"/>
    </row>
    <row r="13142" spans="2:2">
      <c r="B13142" s="3"/>
    </row>
    <row r="13143" spans="2:2">
      <c r="B13143" s="3"/>
    </row>
    <row r="13144" spans="2:2">
      <c r="B13144" s="3"/>
    </row>
    <row r="13145" spans="2:2">
      <c r="B13145" s="3"/>
    </row>
    <row r="13146" spans="2:2">
      <c r="B13146" s="3"/>
    </row>
    <row r="13147" spans="2:2">
      <c r="B13147" s="3"/>
    </row>
    <row r="13148" spans="2:2">
      <c r="B13148" s="3"/>
    </row>
    <row r="13149" spans="2:2">
      <c r="B13149" s="3"/>
    </row>
    <row r="13150" spans="2:2">
      <c r="B13150" s="3"/>
    </row>
    <row r="13151" spans="2:2">
      <c r="B13151" s="3"/>
    </row>
    <row r="13152" spans="2:2">
      <c r="B13152" s="3"/>
    </row>
    <row r="13153" spans="2:2">
      <c r="B13153" s="3"/>
    </row>
    <row r="13154" spans="2:2">
      <c r="B13154" s="3"/>
    </row>
    <row r="13155" spans="2:2">
      <c r="B13155" s="3"/>
    </row>
    <row r="13156" spans="2:2">
      <c r="B13156" s="3"/>
    </row>
    <row r="13157" spans="2:2">
      <c r="B13157" s="3"/>
    </row>
    <row r="13158" spans="2:2">
      <c r="B13158" s="3"/>
    </row>
    <row r="13159" spans="2:2">
      <c r="B13159" s="3"/>
    </row>
    <row r="13160" spans="2:2">
      <c r="B13160" s="3"/>
    </row>
    <row r="13161" spans="2:2">
      <c r="B13161" s="3"/>
    </row>
    <row r="13162" spans="2:2">
      <c r="B13162" s="3"/>
    </row>
    <row r="13163" spans="2:2">
      <c r="B13163" s="3"/>
    </row>
    <row r="13164" spans="2:2">
      <c r="B13164" s="3"/>
    </row>
    <row r="13165" spans="2:2">
      <c r="B13165" s="3"/>
    </row>
    <row r="13166" spans="2:2">
      <c r="B13166" s="3"/>
    </row>
    <row r="13167" spans="2:2">
      <c r="B13167" s="3"/>
    </row>
    <row r="13168" spans="2:2">
      <c r="B13168" s="3"/>
    </row>
    <row r="13169" spans="2:2">
      <c r="B13169" s="3"/>
    </row>
    <row r="13170" spans="2:2">
      <c r="B13170" s="3"/>
    </row>
    <row r="13171" spans="2:2">
      <c r="B13171" s="3"/>
    </row>
    <row r="13172" spans="2:2">
      <c r="B13172" s="3"/>
    </row>
    <row r="13173" spans="2:2">
      <c r="B13173" s="3"/>
    </row>
    <row r="13174" spans="2:2">
      <c r="B13174" s="3"/>
    </row>
    <row r="13175" spans="2:2">
      <c r="B13175" s="3"/>
    </row>
    <row r="13176" spans="2:2">
      <c r="B13176" s="3"/>
    </row>
    <row r="13177" spans="2:2">
      <c r="B13177" s="3"/>
    </row>
    <row r="13178" spans="2:2">
      <c r="B13178" s="3"/>
    </row>
    <row r="13179" spans="2:2">
      <c r="B13179" s="3"/>
    </row>
    <row r="13180" spans="2:2">
      <c r="B13180" s="3"/>
    </row>
    <row r="13181" spans="2:2">
      <c r="B13181" s="3"/>
    </row>
    <row r="13182" spans="2:2">
      <c r="B13182" s="3"/>
    </row>
    <row r="13183" spans="2:2">
      <c r="B13183" s="3"/>
    </row>
    <row r="13184" spans="2:2">
      <c r="B13184" s="3"/>
    </row>
    <row r="13185" spans="2:2">
      <c r="B13185" s="3"/>
    </row>
    <row r="13186" spans="2:2">
      <c r="B13186" s="3"/>
    </row>
    <row r="13187" spans="2:2">
      <c r="B13187" s="3"/>
    </row>
    <row r="13188" spans="2:2">
      <c r="B13188" s="3"/>
    </row>
    <row r="13189" spans="2:2">
      <c r="B13189" s="3"/>
    </row>
    <row r="13190" spans="2:2">
      <c r="B13190" s="3"/>
    </row>
    <row r="13191" spans="2:2">
      <c r="B13191" s="3"/>
    </row>
    <row r="13192" spans="2:2">
      <c r="B13192" s="3"/>
    </row>
    <row r="13193" spans="2:2">
      <c r="B13193" s="3"/>
    </row>
    <row r="13194" spans="2:2">
      <c r="B13194" s="3"/>
    </row>
    <row r="13195" spans="2:2">
      <c r="B13195" s="3"/>
    </row>
    <row r="13196" spans="2:2">
      <c r="B13196" s="3"/>
    </row>
    <row r="13197" spans="2:2">
      <c r="B13197" s="3"/>
    </row>
    <row r="13198" spans="2:2">
      <c r="B13198" s="3"/>
    </row>
    <row r="13199" spans="2:2">
      <c r="B13199" s="3"/>
    </row>
    <row r="13200" spans="2:2">
      <c r="B13200" s="3"/>
    </row>
    <row r="13201" spans="2:2">
      <c r="B13201" s="3"/>
    </row>
    <row r="13202" spans="2:2">
      <c r="B13202" s="3"/>
    </row>
    <row r="13203" spans="2:2">
      <c r="B13203" s="3"/>
    </row>
    <row r="13204" spans="2:2">
      <c r="B13204" s="3"/>
    </row>
    <row r="13205" spans="2:2">
      <c r="B13205" s="3"/>
    </row>
    <row r="13206" spans="2:2">
      <c r="B13206" s="3"/>
    </row>
    <row r="13207" spans="2:2">
      <c r="B13207" s="3"/>
    </row>
    <row r="13208" spans="2:2">
      <c r="B13208" s="3"/>
    </row>
    <row r="13209" spans="2:2">
      <c r="B13209" s="3"/>
    </row>
    <row r="13210" spans="2:2">
      <c r="B13210" s="3"/>
    </row>
    <row r="13211" spans="2:2">
      <c r="B13211" s="3"/>
    </row>
    <row r="13212" spans="2:2">
      <c r="B13212" s="3"/>
    </row>
    <row r="13213" spans="2:2">
      <c r="B13213" s="3"/>
    </row>
    <row r="13214" spans="2:2">
      <c r="B13214" s="3"/>
    </row>
    <row r="13215" spans="2:2">
      <c r="B13215" s="3"/>
    </row>
    <row r="13216" spans="2:2">
      <c r="B13216" s="3"/>
    </row>
    <row r="13217" spans="2:2">
      <c r="B13217" s="3"/>
    </row>
    <row r="13218" spans="2:2">
      <c r="B13218" s="3"/>
    </row>
    <row r="13219" spans="2:2">
      <c r="B13219" s="3"/>
    </row>
    <row r="13220" spans="2:2">
      <c r="B13220" s="3"/>
    </row>
    <row r="13221" spans="2:2">
      <c r="B13221" s="3"/>
    </row>
    <row r="13222" spans="2:2">
      <c r="B13222" s="3"/>
    </row>
    <row r="13223" spans="2:2">
      <c r="B13223" s="3"/>
    </row>
    <row r="13224" spans="2:2">
      <c r="B13224" s="3"/>
    </row>
    <row r="13225" spans="2:2">
      <c r="B13225" s="3"/>
    </row>
    <row r="13226" spans="2:2">
      <c r="B13226" s="3"/>
    </row>
    <row r="13227" spans="2:2">
      <c r="B13227" s="3"/>
    </row>
    <row r="13228" spans="2:2">
      <c r="B13228" s="3"/>
    </row>
    <row r="13229" spans="2:2">
      <c r="B13229" s="3"/>
    </row>
    <row r="13230" spans="2:2">
      <c r="B13230" s="3"/>
    </row>
    <row r="13231" spans="2:2">
      <c r="B13231" s="3"/>
    </row>
    <row r="13232" spans="2:2">
      <c r="B13232" s="3"/>
    </row>
    <row r="13233" spans="2:2">
      <c r="B13233" s="3"/>
    </row>
    <row r="13234" spans="2:2">
      <c r="B13234" s="3"/>
    </row>
    <row r="13235" spans="2:2">
      <c r="B13235" s="3"/>
    </row>
    <row r="13236" spans="2:2">
      <c r="B13236" s="3"/>
    </row>
    <row r="13237" spans="2:2">
      <c r="B13237" s="3"/>
    </row>
    <row r="13238" spans="2:2">
      <c r="B13238" s="3"/>
    </row>
    <row r="13239" spans="2:2">
      <c r="B13239" s="3"/>
    </row>
    <row r="13240" spans="2:2">
      <c r="B13240" s="3"/>
    </row>
    <row r="13241" spans="2:2">
      <c r="B13241" s="3"/>
    </row>
    <row r="13242" spans="2:2">
      <c r="B13242" s="3"/>
    </row>
    <row r="13243" spans="2:2">
      <c r="B13243" s="3"/>
    </row>
    <row r="13244" spans="2:2">
      <c r="B13244" s="3"/>
    </row>
    <row r="13245" spans="2:2">
      <c r="B13245" s="3"/>
    </row>
    <row r="13246" spans="2:2">
      <c r="B13246" s="3"/>
    </row>
    <row r="13247" spans="2:2">
      <c r="B13247" s="3"/>
    </row>
    <row r="13248" spans="2:2">
      <c r="B13248" s="3"/>
    </row>
    <row r="13249" spans="2:2">
      <c r="B13249" s="3"/>
    </row>
    <row r="13250" spans="2:2">
      <c r="B13250" s="3"/>
    </row>
    <row r="13251" spans="2:2">
      <c r="B13251" s="3"/>
    </row>
    <row r="13252" spans="2:2">
      <c r="B13252" s="3"/>
    </row>
    <row r="13253" spans="2:2">
      <c r="B13253" s="3"/>
    </row>
    <row r="13254" spans="2:2">
      <c r="B13254" s="3"/>
    </row>
    <row r="13255" spans="2:2">
      <c r="B13255" s="3"/>
    </row>
    <row r="13256" spans="2:2">
      <c r="B13256" s="3"/>
    </row>
    <row r="13257" spans="2:2">
      <c r="B13257" s="3"/>
    </row>
    <row r="13258" spans="2:2">
      <c r="B13258" s="3"/>
    </row>
    <row r="13259" spans="2:2">
      <c r="B13259" s="3"/>
    </row>
    <row r="13260" spans="2:2">
      <c r="B13260" s="3"/>
    </row>
    <row r="13261" spans="2:2">
      <c r="B13261" s="3"/>
    </row>
    <row r="13262" spans="2:2">
      <c r="B13262" s="3"/>
    </row>
    <row r="13263" spans="2:2">
      <c r="B13263" s="3"/>
    </row>
    <row r="13264" spans="2:2">
      <c r="B13264" s="3"/>
    </row>
    <row r="13265" spans="2:2">
      <c r="B13265" s="3"/>
    </row>
    <row r="13266" spans="2:2">
      <c r="B13266" s="3"/>
    </row>
    <row r="13267" spans="2:2">
      <c r="B13267" s="3"/>
    </row>
    <row r="13268" spans="2:2">
      <c r="B13268" s="3"/>
    </row>
    <row r="13269" spans="2:2">
      <c r="B13269" s="3"/>
    </row>
    <row r="13270" spans="2:2">
      <c r="B13270" s="3"/>
    </row>
    <row r="13271" spans="2:2">
      <c r="B13271" s="3"/>
    </row>
    <row r="13272" spans="2:2">
      <c r="B13272" s="3"/>
    </row>
    <row r="13273" spans="2:2">
      <c r="B13273" s="3"/>
    </row>
    <row r="13274" spans="2:2">
      <c r="B13274" s="3"/>
    </row>
    <row r="13275" spans="2:2">
      <c r="B13275" s="3"/>
    </row>
    <row r="13276" spans="2:2">
      <c r="B13276" s="3"/>
    </row>
    <row r="13277" spans="2:2">
      <c r="B13277" s="3"/>
    </row>
    <row r="13278" spans="2:2">
      <c r="B13278" s="3"/>
    </row>
    <row r="13279" spans="2:2">
      <c r="B13279" s="3"/>
    </row>
    <row r="13280" spans="2:2">
      <c r="B13280" s="3"/>
    </row>
    <row r="13281" spans="2:2">
      <c r="B13281" s="3"/>
    </row>
    <row r="13282" spans="2:2">
      <c r="B13282" s="3"/>
    </row>
    <row r="13283" spans="2:2">
      <c r="B13283" s="3"/>
    </row>
    <row r="13284" spans="2:2">
      <c r="B13284" s="3"/>
    </row>
    <row r="13285" spans="2:2">
      <c r="B13285" s="3"/>
    </row>
    <row r="13286" spans="2:2">
      <c r="B13286" s="3"/>
    </row>
    <row r="13287" spans="2:2">
      <c r="B13287" s="3"/>
    </row>
    <row r="13288" spans="2:2">
      <c r="B13288" s="3"/>
    </row>
    <row r="13289" spans="2:2">
      <c r="B13289" s="3"/>
    </row>
    <row r="13290" spans="2:2">
      <c r="B13290" s="3"/>
    </row>
    <row r="13291" spans="2:2">
      <c r="B13291" s="3"/>
    </row>
    <row r="13292" spans="2:2">
      <c r="B13292" s="3"/>
    </row>
    <row r="13293" spans="2:2">
      <c r="B13293" s="3"/>
    </row>
    <row r="13294" spans="2:2">
      <c r="B13294" s="3"/>
    </row>
    <row r="13295" spans="2:2">
      <c r="B13295" s="3"/>
    </row>
    <row r="13296" spans="2:2">
      <c r="B13296" s="3"/>
    </row>
    <row r="13297" spans="2:2">
      <c r="B13297" s="3"/>
    </row>
    <row r="13298" spans="2:2">
      <c r="B13298" s="3"/>
    </row>
    <row r="13299" spans="2:2">
      <c r="B13299" s="3"/>
    </row>
    <row r="13300" spans="2:2">
      <c r="B13300" s="3"/>
    </row>
    <row r="13301" spans="2:2">
      <c r="B13301" s="3"/>
    </row>
    <row r="13302" spans="2:2">
      <c r="B13302" s="3"/>
    </row>
    <row r="13303" spans="2:2">
      <c r="B13303" s="3"/>
    </row>
    <row r="13304" spans="2:2">
      <c r="B13304" s="3"/>
    </row>
    <row r="13305" spans="2:2">
      <c r="B13305" s="3"/>
    </row>
    <row r="13306" spans="2:2">
      <c r="B13306" s="3"/>
    </row>
    <row r="13307" spans="2:2">
      <c r="B13307" s="3"/>
    </row>
    <row r="13308" spans="2:2">
      <c r="B13308" s="3"/>
    </row>
    <row r="13309" spans="2:2">
      <c r="B13309" s="3"/>
    </row>
    <row r="13310" spans="2:2">
      <c r="B13310" s="3"/>
    </row>
    <row r="13311" spans="2:2">
      <c r="B13311" s="3"/>
    </row>
    <row r="13312" spans="2:2">
      <c r="B13312" s="3"/>
    </row>
    <row r="13313" spans="2:2">
      <c r="B13313" s="3"/>
    </row>
    <row r="13314" spans="2:2">
      <c r="B13314" s="3"/>
    </row>
    <row r="13315" spans="2:2">
      <c r="B13315" s="3"/>
    </row>
    <row r="13316" spans="2:2">
      <c r="B13316" s="3"/>
    </row>
    <row r="13317" spans="2:2">
      <c r="B13317" s="3"/>
    </row>
    <row r="13318" spans="2:2">
      <c r="B13318" s="3"/>
    </row>
    <row r="13319" spans="2:2">
      <c r="B13319" s="3"/>
    </row>
    <row r="13320" spans="2:2">
      <c r="B13320" s="3"/>
    </row>
    <row r="13321" spans="2:2">
      <c r="B13321" s="3"/>
    </row>
    <row r="13322" spans="2:2">
      <c r="B13322" s="3"/>
    </row>
    <row r="13323" spans="2:2">
      <c r="B13323" s="3"/>
    </row>
    <row r="13324" spans="2:2">
      <c r="B13324" s="3"/>
    </row>
    <row r="13325" spans="2:2">
      <c r="B13325" s="3"/>
    </row>
    <row r="13326" spans="2:2">
      <c r="B13326" s="3"/>
    </row>
    <row r="13327" spans="2:2">
      <c r="B13327" s="3"/>
    </row>
    <row r="13328" spans="2:2">
      <c r="B13328" s="3"/>
    </row>
    <row r="13329" spans="2:2">
      <c r="B13329" s="3"/>
    </row>
    <row r="13330" spans="2:2">
      <c r="B13330" s="3"/>
    </row>
    <row r="13331" spans="2:2">
      <c r="B13331" s="3"/>
    </row>
    <row r="13332" spans="2:2">
      <c r="B13332" s="3"/>
    </row>
    <row r="13333" spans="2:2">
      <c r="B13333" s="3"/>
    </row>
    <row r="13334" spans="2:2">
      <c r="B13334" s="3"/>
    </row>
    <row r="13335" spans="2:2">
      <c r="B13335" s="3"/>
    </row>
    <row r="13336" spans="2:2">
      <c r="B13336" s="3"/>
    </row>
    <row r="13337" spans="2:2">
      <c r="B13337" s="3"/>
    </row>
    <row r="13338" spans="2:2">
      <c r="B13338" s="3"/>
    </row>
    <row r="13339" spans="2:2">
      <c r="B13339" s="3"/>
    </row>
    <row r="13340" spans="2:2">
      <c r="B13340" s="3"/>
    </row>
    <row r="13341" spans="2:2">
      <c r="B13341" s="3"/>
    </row>
    <row r="13342" spans="2:2">
      <c r="B13342" s="3"/>
    </row>
    <row r="13343" spans="2:2">
      <c r="B13343" s="3"/>
    </row>
    <row r="13344" spans="2:2">
      <c r="B13344" s="3"/>
    </row>
    <row r="13345" spans="2:2">
      <c r="B13345" s="3"/>
    </row>
    <row r="13346" spans="2:2">
      <c r="B13346" s="3"/>
    </row>
    <row r="13347" spans="2:2">
      <c r="B13347" s="3"/>
    </row>
    <row r="13348" spans="2:2">
      <c r="B13348" s="3"/>
    </row>
    <row r="13349" spans="2:2">
      <c r="B13349" s="3"/>
    </row>
    <row r="13350" spans="2:2">
      <c r="B13350" s="3"/>
    </row>
    <row r="13351" spans="2:2">
      <c r="B13351" s="3"/>
    </row>
    <row r="13352" spans="2:2">
      <c r="B13352" s="3"/>
    </row>
    <row r="13353" spans="2:2">
      <c r="B13353" s="3"/>
    </row>
    <row r="13354" spans="2:2">
      <c r="B13354" s="3"/>
    </row>
    <row r="13355" spans="2:2">
      <c r="B13355" s="3"/>
    </row>
    <row r="13356" spans="2:2">
      <c r="B13356" s="3"/>
    </row>
    <row r="13357" spans="2:2">
      <c r="B13357" s="3"/>
    </row>
    <row r="13358" spans="2:2">
      <c r="B13358" s="3"/>
    </row>
    <row r="13359" spans="2:2">
      <c r="B13359" s="3"/>
    </row>
    <row r="13360" spans="2:2">
      <c r="B13360" s="3"/>
    </row>
    <row r="13361" spans="2:2">
      <c r="B13361" s="3"/>
    </row>
    <row r="13362" spans="2:2">
      <c r="B13362" s="3"/>
    </row>
    <row r="13363" spans="2:2">
      <c r="B13363" s="3"/>
    </row>
    <row r="13364" spans="2:2">
      <c r="B13364" s="3"/>
    </row>
    <row r="13365" spans="2:2">
      <c r="B13365" s="3"/>
    </row>
    <row r="13366" spans="2:2">
      <c r="B13366" s="3"/>
    </row>
    <row r="13367" spans="2:2">
      <c r="B13367" s="3"/>
    </row>
    <row r="13368" spans="2:2">
      <c r="B13368" s="3"/>
    </row>
    <row r="13369" spans="2:2">
      <c r="B13369" s="3"/>
    </row>
    <row r="13370" spans="2:2">
      <c r="B13370" s="3"/>
    </row>
    <row r="13371" spans="2:2">
      <c r="B13371" s="3"/>
    </row>
    <row r="13372" spans="2:2">
      <c r="B13372" s="3"/>
    </row>
    <row r="13373" spans="2:2">
      <c r="B13373" s="3"/>
    </row>
    <row r="13374" spans="2:2">
      <c r="B13374" s="3"/>
    </row>
    <row r="13375" spans="2:2">
      <c r="B13375" s="3"/>
    </row>
    <row r="13376" spans="2:2">
      <c r="B13376" s="3"/>
    </row>
    <row r="13377" spans="2:2">
      <c r="B13377" s="3"/>
    </row>
    <row r="13378" spans="2:2">
      <c r="B13378" s="3"/>
    </row>
    <row r="13379" spans="2:2">
      <c r="B13379" s="3"/>
    </row>
    <row r="13380" spans="2:2">
      <c r="B13380" s="3"/>
    </row>
    <row r="13381" spans="2:2">
      <c r="B13381" s="3"/>
    </row>
    <row r="13382" spans="2:2">
      <c r="B13382" s="3"/>
    </row>
    <row r="13383" spans="2:2">
      <c r="B13383" s="3"/>
    </row>
    <row r="13384" spans="2:2">
      <c r="B13384" s="3"/>
    </row>
    <row r="13385" spans="2:2">
      <c r="B13385" s="3"/>
    </row>
    <row r="13386" spans="2:2">
      <c r="B13386" s="3"/>
    </row>
    <row r="13387" spans="2:2">
      <c r="B13387" s="3"/>
    </row>
    <row r="13388" spans="2:2">
      <c r="B13388" s="3"/>
    </row>
    <row r="13389" spans="2:2">
      <c r="B13389" s="3"/>
    </row>
    <row r="13390" spans="2:2">
      <c r="B13390" s="3"/>
    </row>
    <row r="13391" spans="2:2">
      <c r="B13391" s="3"/>
    </row>
    <row r="13392" spans="2:2">
      <c r="B13392" s="3"/>
    </row>
    <row r="13393" spans="2:2">
      <c r="B13393" s="3"/>
    </row>
    <row r="13394" spans="2:2">
      <c r="B13394" s="3"/>
    </row>
    <row r="13395" spans="2:2">
      <c r="B13395" s="3"/>
    </row>
    <row r="13396" spans="2:2">
      <c r="B13396" s="3"/>
    </row>
    <row r="13397" spans="2:2">
      <c r="B13397" s="3"/>
    </row>
    <row r="13398" spans="2:2">
      <c r="B13398" s="3"/>
    </row>
    <row r="13399" spans="2:2">
      <c r="B13399" s="3"/>
    </row>
    <row r="13400" spans="2:2">
      <c r="B13400" s="3"/>
    </row>
    <row r="13401" spans="2:2">
      <c r="B13401" s="3"/>
    </row>
    <row r="13402" spans="2:2">
      <c r="B13402" s="3"/>
    </row>
    <row r="13403" spans="2:2">
      <c r="B13403" s="3"/>
    </row>
    <row r="13404" spans="2:2">
      <c r="B13404" s="3"/>
    </row>
    <row r="13405" spans="2:2">
      <c r="B13405" s="3"/>
    </row>
    <row r="13406" spans="2:2">
      <c r="B13406" s="3"/>
    </row>
    <row r="13407" spans="2:2">
      <c r="B13407" s="3"/>
    </row>
    <row r="13408" spans="2:2">
      <c r="B13408" s="3"/>
    </row>
    <row r="13409" spans="2:2">
      <c r="B13409" s="3"/>
    </row>
    <row r="13410" spans="2:2">
      <c r="B13410" s="3"/>
    </row>
    <row r="13411" spans="2:2">
      <c r="B13411" s="3"/>
    </row>
    <row r="13412" spans="2:2">
      <c r="B13412" s="3"/>
    </row>
    <row r="13413" spans="2:2">
      <c r="B13413" s="3"/>
    </row>
    <row r="13414" spans="2:2">
      <c r="B13414" s="3"/>
    </row>
    <row r="13415" spans="2:2">
      <c r="B13415" s="3"/>
    </row>
    <row r="13416" spans="2:2">
      <c r="B13416" s="3"/>
    </row>
    <row r="13417" spans="2:2">
      <c r="B13417" s="3"/>
    </row>
    <row r="13418" spans="2:2">
      <c r="B13418" s="3"/>
    </row>
    <row r="13419" spans="2:2">
      <c r="B13419" s="3"/>
    </row>
    <row r="13420" spans="2:2">
      <c r="B13420" s="3"/>
    </row>
    <row r="13421" spans="2:2">
      <c r="B13421" s="3"/>
    </row>
    <row r="13422" spans="2:2">
      <c r="B13422" s="3"/>
    </row>
    <row r="13423" spans="2:2">
      <c r="B13423" s="3"/>
    </row>
    <row r="13424" spans="2:2">
      <c r="B13424" s="3"/>
    </row>
    <row r="13425" spans="2:2">
      <c r="B13425" s="3"/>
    </row>
    <row r="13426" spans="2:2">
      <c r="B13426" s="3"/>
    </row>
    <row r="13427" spans="2:2">
      <c r="B13427" s="3"/>
    </row>
    <row r="13428" spans="2:2">
      <c r="B13428" s="3"/>
    </row>
    <row r="13429" spans="2:2">
      <c r="B13429" s="3"/>
    </row>
    <row r="13430" spans="2:2">
      <c r="B13430" s="3"/>
    </row>
    <row r="13431" spans="2:2">
      <c r="B13431" s="3"/>
    </row>
    <row r="13432" spans="2:2">
      <c r="B13432" s="3"/>
    </row>
    <row r="13433" spans="2:2">
      <c r="B13433" s="3"/>
    </row>
    <row r="13434" spans="2:2">
      <c r="B13434" s="3"/>
    </row>
    <row r="13435" spans="2:2">
      <c r="B13435" s="3"/>
    </row>
    <row r="13436" spans="2:2">
      <c r="B13436" s="3"/>
    </row>
    <row r="13437" spans="2:2">
      <c r="B13437" s="3"/>
    </row>
    <row r="13438" spans="2:2">
      <c r="B13438" s="3"/>
    </row>
    <row r="13439" spans="2:2">
      <c r="B13439" s="3"/>
    </row>
    <row r="13440" spans="2:2">
      <c r="B13440" s="3"/>
    </row>
    <row r="13441" spans="2:2">
      <c r="B13441" s="3"/>
    </row>
    <row r="13442" spans="2:2">
      <c r="B13442" s="3"/>
    </row>
    <row r="13443" spans="2:2">
      <c r="B13443" s="3"/>
    </row>
    <row r="13444" spans="2:2">
      <c r="B13444" s="3"/>
    </row>
    <row r="13445" spans="2:2">
      <c r="B13445" s="3"/>
    </row>
    <row r="13446" spans="2:2">
      <c r="B13446" s="3"/>
    </row>
    <row r="13447" spans="2:2">
      <c r="B13447" s="3"/>
    </row>
    <row r="13448" spans="2:2">
      <c r="B13448" s="3"/>
    </row>
    <row r="13449" spans="2:2">
      <c r="B13449" s="3"/>
    </row>
    <row r="13450" spans="2:2">
      <c r="B13450" s="3"/>
    </row>
    <row r="13451" spans="2:2">
      <c r="B13451" s="3"/>
    </row>
    <row r="13452" spans="2:2">
      <c r="B13452" s="3"/>
    </row>
    <row r="13453" spans="2:2">
      <c r="B13453" s="3"/>
    </row>
    <row r="13454" spans="2:2">
      <c r="B13454" s="3"/>
    </row>
    <row r="13455" spans="2:2">
      <c r="B13455" s="3"/>
    </row>
    <row r="13456" spans="2:2">
      <c r="B13456" s="3"/>
    </row>
    <row r="13457" spans="2:2">
      <c r="B13457" s="3"/>
    </row>
    <row r="13458" spans="2:2">
      <c r="B13458" s="3"/>
    </row>
    <row r="13459" spans="2:2">
      <c r="B13459" s="3"/>
    </row>
    <row r="13460" spans="2:2">
      <c r="B13460" s="3"/>
    </row>
    <row r="13461" spans="2:2">
      <c r="B13461" s="3"/>
    </row>
    <row r="13462" spans="2:2">
      <c r="B13462" s="3"/>
    </row>
    <row r="13463" spans="2:2">
      <c r="B13463" s="3"/>
    </row>
    <row r="13464" spans="2:2">
      <c r="B13464" s="3"/>
    </row>
    <row r="13465" spans="2:2">
      <c r="B13465" s="3"/>
    </row>
    <row r="13466" spans="2:2">
      <c r="B13466" s="3"/>
    </row>
    <row r="13467" spans="2:2">
      <c r="B13467" s="3"/>
    </row>
    <row r="13468" spans="2:2">
      <c r="B13468" s="3"/>
    </row>
    <row r="13469" spans="2:2">
      <c r="B13469" s="3"/>
    </row>
    <row r="13470" spans="2:2">
      <c r="B13470" s="3"/>
    </row>
    <row r="13471" spans="2:2">
      <c r="B13471" s="3"/>
    </row>
    <row r="13472" spans="2:2">
      <c r="B13472" s="3"/>
    </row>
    <row r="13473" spans="2:2">
      <c r="B13473" s="3"/>
    </row>
    <row r="13474" spans="2:2">
      <c r="B13474" s="3"/>
    </row>
    <row r="13475" spans="2:2">
      <c r="B13475" s="3"/>
    </row>
    <row r="13476" spans="2:2">
      <c r="B13476" s="3"/>
    </row>
    <row r="13477" spans="2:2">
      <c r="B13477" s="3"/>
    </row>
    <row r="13478" spans="2:2">
      <c r="B13478" s="3"/>
    </row>
    <row r="13479" spans="2:2">
      <c r="B13479" s="3"/>
    </row>
    <row r="13480" spans="2:2">
      <c r="B13480" s="3"/>
    </row>
    <row r="13481" spans="2:2">
      <c r="B13481" s="3"/>
    </row>
    <row r="13482" spans="2:2">
      <c r="B13482" s="3"/>
    </row>
    <row r="13483" spans="2:2">
      <c r="B13483" s="3"/>
    </row>
    <row r="13484" spans="2:2">
      <c r="B13484" s="3"/>
    </row>
    <row r="13485" spans="2:2">
      <c r="B13485" s="3"/>
    </row>
    <row r="13486" spans="2:2">
      <c r="B13486" s="3"/>
    </row>
    <row r="13487" spans="2:2">
      <c r="B13487" s="3"/>
    </row>
    <row r="13488" spans="2:2">
      <c r="B13488" s="3"/>
    </row>
    <row r="13489" spans="2:2">
      <c r="B13489" s="3"/>
    </row>
    <row r="13490" spans="2:2">
      <c r="B13490" s="3"/>
    </row>
    <row r="13491" spans="2:2">
      <c r="B13491" s="3"/>
    </row>
    <row r="13492" spans="2:2">
      <c r="B13492" s="3"/>
    </row>
    <row r="13493" spans="2:2">
      <c r="B13493" s="3"/>
    </row>
    <row r="13494" spans="2:2">
      <c r="B13494" s="3"/>
    </row>
    <row r="13495" spans="2:2">
      <c r="B13495" s="3"/>
    </row>
    <row r="13496" spans="2:2">
      <c r="B13496" s="3"/>
    </row>
    <row r="13497" spans="2:2">
      <c r="B13497" s="3"/>
    </row>
    <row r="13498" spans="2:2">
      <c r="B13498" s="3"/>
    </row>
    <row r="13499" spans="2:2">
      <c r="B13499" s="3"/>
    </row>
    <row r="13500" spans="2:2">
      <c r="B13500" s="3"/>
    </row>
    <row r="13501" spans="2:2">
      <c r="B13501" s="3"/>
    </row>
    <row r="13502" spans="2:2">
      <c r="B13502" s="3"/>
    </row>
    <row r="13503" spans="2:2">
      <c r="B13503" s="3"/>
    </row>
    <row r="13504" spans="2:2">
      <c r="B13504" s="3"/>
    </row>
    <row r="13505" spans="2:2">
      <c r="B13505" s="3"/>
    </row>
    <row r="13506" spans="2:2">
      <c r="B13506" s="3"/>
    </row>
    <row r="13507" spans="2:2">
      <c r="B13507" s="3"/>
    </row>
    <row r="13508" spans="2:2">
      <c r="B13508" s="3"/>
    </row>
    <row r="13509" spans="2:2">
      <c r="B13509" s="3"/>
    </row>
    <row r="13510" spans="2:2">
      <c r="B13510" s="3"/>
    </row>
    <row r="13511" spans="2:2">
      <c r="B13511" s="3"/>
    </row>
    <row r="13512" spans="2:2">
      <c r="B13512" s="3"/>
    </row>
    <row r="13513" spans="2:2">
      <c r="B13513" s="3"/>
    </row>
    <row r="13514" spans="2:2">
      <c r="B13514" s="3"/>
    </row>
    <row r="13515" spans="2:2">
      <c r="B13515" s="3"/>
    </row>
    <row r="13516" spans="2:2">
      <c r="B13516" s="3"/>
    </row>
    <row r="13517" spans="2:2">
      <c r="B13517" s="3"/>
    </row>
    <row r="13518" spans="2:2">
      <c r="B13518" s="3"/>
    </row>
    <row r="13519" spans="2:2">
      <c r="B13519" s="3"/>
    </row>
    <row r="13520" spans="2:2">
      <c r="B13520" s="3"/>
    </row>
    <row r="13521" spans="2:2">
      <c r="B13521" s="3"/>
    </row>
    <row r="13522" spans="2:2">
      <c r="B13522" s="3"/>
    </row>
    <row r="13523" spans="2:2">
      <c r="B13523" s="3"/>
    </row>
    <row r="13524" spans="2:2">
      <c r="B13524" s="3"/>
    </row>
    <row r="13525" spans="2:2">
      <c r="B13525" s="3"/>
    </row>
    <row r="13526" spans="2:2">
      <c r="B13526" s="3"/>
    </row>
    <row r="13527" spans="2:2">
      <c r="B13527" s="3"/>
    </row>
    <row r="13528" spans="2:2">
      <c r="B13528" s="3"/>
    </row>
    <row r="13529" spans="2:2">
      <c r="B13529" s="3"/>
    </row>
    <row r="13530" spans="2:2">
      <c r="B13530" s="3"/>
    </row>
    <row r="13531" spans="2:2">
      <c r="B13531" s="3"/>
    </row>
    <row r="13532" spans="2:2">
      <c r="B13532" s="3"/>
    </row>
    <row r="13533" spans="2:2">
      <c r="B13533" s="3"/>
    </row>
    <row r="13534" spans="2:2">
      <c r="B13534" s="3"/>
    </row>
    <row r="13535" spans="2:2">
      <c r="B13535" s="3"/>
    </row>
    <row r="13536" spans="2:2">
      <c r="B13536" s="3"/>
    </row>
    <row r="13537" spans="2:2">
      <c r="B13537" s="3"/>
    </row>
    <row r="13538" spans="2:2">
      <c r="B13538" s="3"/>
    </row>
    <row r="13539" spans="2:2">
      <c r="B13539" s="3"/>
    </row>
    <row r="13540" spans="2:2">
      <c r="B13540" s="3"/>
    </row>
    <row r="13541" spans="2:2">
      <c r="B13541" s="3"/>
    </row>
    <row r="13542" spans="2:2">
      <c r="B13542" s="3"/>
    </row>
    <row r="13543" spans="2:2">
      <c r="B13543" s="3"/>
    </row>
    <row r="13544" spans="2:2">
      <c r="B13544" s="3"/>
    </row>
    <row r="13545" spans="2:2">
      <c r="B13545" s="3"/>
    </row>
    <row r="13546" spans="2:2">
      <c r="B13546" s="3"/>
    </row>
    <row r="13547" spans="2:2">
      <c r="B13547" s="3"/>
    </row>
    <row r="13548" spans="2:2">
      <c r="B13548" s="3"/>
    </row>
    <row r="13549" spans="2:2">
      <c r="B13549" s="3"/>
    </row>
    <row r="13550" spans="2:2">
      <c r="B13550" s="3"/>
    </row>
    <row r="13551" spans="2:2">
      <c r="B13551" s="3"/>
    </row>
    <row r="13552" spans="2:2">
      <c r="B13552" s="3"/>
    </row>
    <row r="13553" spans="2:2">
      <c r="B13553" s="3"/>
    </row>
    <row r="13554" spans="2:2">
      <c r="B13554" s="3"/>
    </row>
    <row r="13555" spans="2:2">
      <c r="B13555" s="3"/>
    </row>
    <row r="13556" spans="2:2">
      <c r="B13556" s="3"/>
    </row>
    <row r="13557" spans="2:2">
      <c r="B13557" s="3"/>
    </row>
    <row r="13558" spans="2:2">
      <c r="B13558" s="3"/>
    </row>
    <row r="13559" spans="2:2">
      <c r="B13559" s="3"/>
    </row>
    <row r="13560" spans="2:2">
      <c r="B13560" s="3"/>
    </row>
    <row r="13561" spans="2:2">
      <c r="B13561" s="3"/>
    </row>
    <row r="13562" spans="2:2">
      <c r="B13562" s="3"/>
    </row>
    <row r="13563" spans="2:2">
      <c r="B13563" s="3"/>
    </row>
    <row r="13564" spans="2:2">
      <c r="B13564" s="3"/>
    </row>
    <row r="13565" spans="2:2">
      <c r="B13565" s="3"/>
    </row>
    <row r="13566" spans="2:2">
      <c r="B13566" s="3"/>
    </row>
    <row r="13567" spans="2:2">
      <c r="B13567" s="3"/>
    </row>
    <row r="13568" spans="2:2">
      <c r="B13568" s="3"/>
    </row>
    <row r="13569" spans="2:2">
      <c r="B13569" s="3"/>
    </row>
    <row r="13570" spans="2:2">
      <c r="B13570" s="3"/>
    </row>
    <row r="13571" spans="2:2">
      <c r="B13571" s="3"/>
    </row>
    <row r="13572" spans="2:2">
      <c r="B13572" s="3"/>
    </row>
    <row r="13573" spans="2:2">
      <c r="B13573" s="3"/>
    </row>
    <row r="13574" spans="2:2">
      <c r="B13574" s="3"/>
    </row>
    <row r="13575" spans="2:2">
      <c r="B13575" s="3"/>
    </row>
    <row r="13576" spans="2:2">
      <c r="B13576" s="3"/>
    </row>
    <row r="13577" spans="2:2">
      <c r="B13577" s="3"/>
    </row>
    <row r="13578" spans="2:2">
      <c r="B13578" s="3"/>
    </row>
    <row r="13579" spans="2:2">
      <c r="B13579" s="3"/>
    </row>
    <row r="13580" spans="2:2">
      <c r="B13580" s="3"/>
    </row>
    <row r="13581" spans="2:2">
      <c r="B13581" s="3"/>
    </row>
    <row r="13582" spans="2:2">
      <c r="B13582" s="3"/>
    </row>
    <row r="13583" spans="2:2">
      <c r="B13583" s="3"/>
    </row>
    <row r="13584" spans="2:2">
      <c r="B13584" s="3"/>
    </row>
    <row r="13585" spans="2:2">
      <c r="B13585" s="3"/>
    </row>
    <row r="13586" spans="2:2">
      <c r="B13586" s="3"/>
    </row>
    <row r="13587" spans="2:2">
      <c r="B13587" s="3"/>
    </row>
    <row r="13588" spans="2:2">
      <c r="B13588" s="3"/>
    </row>
    <row r="13589" spans="2:2">
      <c r="B13589" s="3"/>
    </row>
    <row r="13590" spans="2:2">
      <c r="B13590" s="3"/>
    </row>
    <row r="13591" spans="2:2">
      <c r="B13591" s="3"/>
    </row>
    <row r="13592" spans="2:2">
      <c r="B13592" s="3"/>
    </row>
    <row r="13593" spans="2:2">
      <c r="B13593" s="3"/>
    </row>
    <row r="13594" spans="2:2">
      <c r="B13594" s="3"/>
    </row>
    <row r="13595" spans="2:2">
      <c r="B13595" s="3"/>
    </row>
    <row r="13596" spans="2:2">
      <c r="B13596" s="3"/>
    </row>
    <row r="13597" spans="2:2">
      <c r="B13597" s="3"/>
    </row>
    <row r="13598" spans="2:2">
      <c r="B13598" s="3"/>
    </row>
    <row r="13599" spans="2:2">
      <c r="B13599" s="3"/>
    </row>
    <row r="13600" spans="2:2">
      <c r="B13600" s="3"/>
    </row>
    <row r="13601" spans="2:2">
      <c r="B13601" s="3"/>
    </row>
    <row r="13602" spans="2:2">
      <c r="B13602" s="3"/>
    </row>
    <row r="13603" spans="2:2">
      <c r="B13603" s="3"/>
    </row>
    <row r="13604" spans="2:2">
      <c r="B13604" s="3"/>
    </row>
    <row r="13605" spans="2:2">
      <c r="B13605" s="3"/>
    </row>
    <row r="13606" spans="2:2">
      <c r="B13606" s="3"/>
    </row>
    <row r="13607" spans="2:2">
      <c r="B13607" s="3"/>
    </row>
    <row r="13608" spans="2:2">
      <c r="B13608" s="3"/>
    </row>
    <row r="13609" spans="2:2">
      <c r="B13609" s="3"/>
    </row>
    <row r="13610" spans="2:2">
      <c r="B13610" s="3"/>
    </row>
    <row r="13611" spans="2:2">
      <c r="B13611" s="3"/>
    </row>
    <row r="13612" spans="2:2">
      <c r="B13612" s="3"/>
    </row>
    <row r="13613" spans="2:2">
      <c r="B13613" s="3"/>
    </row>
    <row r="13614" spans="2:2">
      <c r="B13614" s="3"/>
    </row>
    <row r="13615" spans="2:2">
      <c r="B13615" s="3"/>
    </row>
    <row r="13616" spans="2:2">
      <c r="B13616" s="3"/>
    </row>
    <row r="13617" spans="2:2">
      <c r="B13617" s="3"/>
    </row>
    <row r="13618" spans="2:2">
      <c r="B13618" s="3"/>
    </row>
    <row r="13619" spans="2:2">
      <c r="B13619" s="3"/>
    </row>
    <row r="13620" spans="2:2">
      <c r="B13620" s="3"/>
    </row>
    <row r="13621" spans="2:2">
      <c r="B13621" s="3"/>
    </row>
    <row r="13622" spans="2:2">
      <c r="B13622" s="3"/>
    </row>
    <row r="13623" spans="2:2">
      <c r="B13623" s="3"/>
    </row>
    <row r="13624" spans="2:2">
      <c r="B13624" s="3"/>
    </row>
    <row r="13625" spans="2:2">
      <c r="B13625" s="3"/>
    </row>
    <row r="13626" spans="2:2">
      <c r="B13626" s="3"/>
    </row>
    <row r="13627" spans="2:2">
      <c r="B13627" s="3"/>
    </row>
    <row r="13628" spans="2:2">
      <c r="B13628" s="3"/>
    </row>
    <row r="13629" spans="2:2">
      <c r="B13629" s="3"/>
    </row>
    <row r="13630" spans="2:2">
      <c r="B13630" s="3"/>
    </row>
    <row r="13631" spans="2:2">
      <c r="B13631" s="3"/>
    </row>
    <row r="13632" spans="2:2">
      <c r="B13632" s="3"/>
    </row>
    <row r="13633" spans="2:2">
      <c r="B13633" s="3"/>
    </row>
    <row r="13634" spans="2:2">
      <c r="B13634" s="3"/>
    </row>
    <row r="13635" spans="2:2">
      <c r="B13635" s="3"/>
    </row>
    <row r="13636" spans="2:2">
      <c r="B13636" s="3"/>
    </row>
    <row r="13637" spans="2:2">
      <c r="B13637" s="3"/>
    </row>
    <row r="13638" spans="2:2">
      <c r="B13638" s="3"/>
    </row>
    <row r="13639" spans="2:2">
      <c r="B13639" s="3"/>
    </row>
    <row r="13640" spans="2:2">
      <c r="B13640" s="3"/>
    </row>
    <row r="13641" spans="2:2">
      <c r="B13641" s="3"/>
    </row>
    <row r="13642" spans="2:2">
      <c r="B13642" s="3"/>
    </row>
    <row r="13643" spans="2:2">
      <c r="B13643" s="3"/>
    </row>
    <row r="13644" spans="2:2">
      <c r="B13644" s="3"/>
    </row>
    <row r="13645" spans="2:2">
      <c r="B13645" s="3"/>
    </row>
    <row r="13646" spans="2:2">
      <c r="B13646" s="3"/>
    </row>
    <row r="13647" spans="2:2">
      <c r="B13647" s="3"/>
    </row>
    <row r="13648" spans="2:2">
      <c r="B13648" s="3"/>
    </row>
    <row r="13649" spans="2:2">
      <c r="B13649" s="3"/>
    </row>
    <row r="13650" spans="2:2">
      <c r="B13650" s="3"/>
    </row>
    <row r="13651" spans="2:2">
      <c r="B13651" s="3"/>
    </row>
    <row r="13652" spans="2:2">
      <c r="B13652" s="3"/>
    </row>
    <row r="13653" spans="2:2">
      <c r="B13653" s="3"/>
    </row>
    <row r="13654" spans="2:2">
      <c r="B13654" s="3"/>
    </row>
    <row r="13655" spans="2:2">
      <c r="B13655" s="3"/>
    </row>
    <row r="13656" spans="2:2">
      <c r="B13656" s="3"/>
    </row>
    <row r="13657" spans="2:2">
      <c r="B13657" s="3"/>
    </row>
    <row r="13658" spans="2:2">
      <c r="B13658" s="3"/>
    </row>
    <row r="13659" spans="2:2">
      <c r="B13659" s="3"/>
    </row>
    <row r="13660" spans="2:2">
      <c r="B13660" s="3"/>
    </row>
    <row r="13661" spans="2:2">
      <c r="B13661" s="3"/>
    </row>
    <row r="13662" spans="2:2">
      <c r="B13662" s="3"/>
    </row>
    <row r="13663" spans="2:2">
      <c r="B13663" s="3"/>
    </row>
    <row r="13664" spans="2:2">
      <c r="B13664" s="3"/>
    </row>
    <row r="13665" spans="2:2">
      <c r="B13665" s="3"/>
    </row>
    <row r="13666" spans="2:2">
      <c r="B13666" s="3"/>
    </row>
    <row r="13667" spans="2:2">
      <c r="B13667" s="3"/>
    </row>
    <row r="13668" spans="2:2">
      <c r="B13668" s="3"/>
    </row>
    <row r="13669" spans="2:2">
      <c r="B13669" s="3"/>
    </row>
    <row r="13670" spans="2:2">
      <c r="B13670" s="3"/>
    </row>
    <row r="13671" spans="2:2">
      <c r="B13671" s="3"/>
    </row>
    <row r="13672" spans="2:2">
      <c r="B13672" s="3"/>
    </row>
    <row r="13673" spans="2:2">
      <c r="B13673" s="3"/>
    </row>
    <row r="13674" spans="2:2">
      <c r="B13674" s="3"/>
    </row>
    <row r="13675" spans="2:2">
      <c r="B13675" s="3"/>
    </row>
    <row r="13676" spans="2:2">
      <c r="B13676" s="3"/>
    </row>
    <row r="13677" spans="2:2">
      <c r="B13677" s="3"/>
    </row>
    <row r="13678" spans="2:2">
      <c r="B13678" s="3"/>
    </row>
    <row r="13679" spans="2:2">
      <c r="B13679" s="3"/>
    </row>
    <row r="13680" spans="2:2">
      <c r="B13680" s="3"/>
    </row>
    <row r="13681" spans="2:2">
      <c r="B13681" s="3"/>
    </row>
    <row r="13682" spans="2:2">
      <c r="B13682" s="3"/>
    </row>
    <row r="13683" spans="2:2">
      <c r="B13683" s="3"/>
    </row>
    <row r="13684" spans="2:2">
      <c r="B13684" s="3"/>
    </row>
    <row r="13685" spans="2:2">
      <c r="B13685" s="3"/>
    </row>
    <row r="13686" spans="2:2">
      <c r="B13686" s="3"/>
    </row>
    <row r="13687" spans="2:2">
      <c r="B13687" s="3"/>
    </row>
    <row r="13688" spans="2:2">
      <c r="B13688" s="3"/>
    </row>
    <row r="13689" spans="2:2">
      <c r="B13689" s="3"/>
    </row>
    <row r="13690" spans="2:2">
      <c r="B13690" s="3"/>
    </row>
    <row r="13691" spans="2:2">
      <c r="B13691" s="3"/>
    </row>
    <row r="13692" spans="2:2">
      <c r="B13692" s="3"/>
    </row>
    <row r="13693" spans="2:2">
      <c r="B13693" s="3"/>
    </row>
    <row r="13694" spans="2:2">
      <c r="B13694" s="3"/>
    </row>
    <row r="13695" spans="2:2">
      <c r="B13695" s="3"/>
    </row>
    <row r="13696" spans="2:2">
      <c r="B13696" s="3"/>
    </row>
    <row r="13697" spans="2:2">
      <c r="B13697" s="3"/>
    </row>
    <row r="13698" spans="2:2">
      <c r="B13698" s="3"/>
    </row>
    <row r="13699" spans="2:2">
      <c r="B13699" s="3"/>
    </row>
    <row r="13700" spans="2:2">
      <c r="B13700" s="3"/>
    </row>
    <row r="13701" spans="2:2">
      <c r="B13701" s="3"/>
    </row>
    <row r="13702" spans="2:2">
      <c r="B13702" s="3"/>
    </row>
    <row r="13703" spans="2:2">
      <c r="B13703" s="3"/>
    </row>
    <row r="13704" spans="2:2">
      <c r="B13704" s="3"/>
    </row>
    <row r="13705" spans="2:2">
      <c r="B13705" s="3"/>
    </row>
    <row r="13706" spans="2:2">
      <c r="B13706" s="3"/>
    </row>
    <row r="13707" spans="2:2">
      <c r="B13707" s="3"/>
    </row>
    <row r="13708" spans="2:2">
      <c r="B13708" s="3"/>
    </row>
    <row r="13709" spans="2:2">
      <c r="B13709" s="3"/>
    </row>
    <row r="13710" spans="2:2">
      <c r="B13710" s="3"/>
    </row>
    <row r="13711" spans="2:2">
      <c r="B13711" s="3"/>
    </row>
    <row r="13712" spans="2:2">
      <c r="B13712" s="3"/>
    </row>
    <row r="13713" spans="2:2">
      <c r="B13713" s="3"/>
    </row>
    <row r="13714" spans="2:2">
      <c r="B13714" s="3"/>
    </row>
    <row r="13715" spans="2:2">
      <c r="B13715" s="3"/>
    </row>
    <row r="13716" spans="2:2">
      <c r="B13716" s="3"/>
    </row>
    <row r="13717" spans="2:2">
      <c r="B13717" s="3"/>
    </row>
    <row r="13718" spans="2:2">
      <c r="B13718" s="3"/>
    </row>
    <row r="13719" spans="2:2">
      <c r="B13719" s="3"/>
    </row>
    <row r="13720" spans="2:2">
      <c r="B13720" s="3"/>
    </row>
    <row r="13721" spans="2:2">
      <c r="B13721" s="3"/>
    </row>
    <row r="13722" spans="2:2">
      <c r="B13722" s="3"/>
    </row>
    <row r="13723" spans="2:2">
      <c r="B13723" s="3"/>
    </row>
    <row r="13724" spans="2:2">
      <c r="B13724" s="3"/>
    </row>
    <row r="13725" spans="2:2">
      <c r="B13725" s="3"/>
    </row>
    <row r="13726" spans="2:2">
      <c r="B13726" s="3"/>
    </row>
    <row r="13727" spans="2:2">
      <c r="B13727" s="3"/>
    </row>
    <row r="13728" spans="2:2">
      <c r="B13728" s="3"/>
    </row>
    <row r="13729" spans="2:2">
      <c r="B13729" s="3"/>
    </row>
    <row r="13730" spans="2:2">
      <c r="B13730" s="3"/>
    </row>
    <row r="13731" spans="2:2">
      <c r="B13731" s="3"/>
    </row>
    <row r="13732" spans="2:2">
      <c r="B13732" s="3"/>
    </row>
    <row r="13733" spans="2:2">
      <c r="B13733" s="3"/>
    </row>
    <row r="13734" spans="2:2">
      <c r="B13734" s="3"/>
    </row>
    <row r="13735" spans="2:2">
      <c r="B13735" s="3"/>
    </row>
    <row r="13736" spans="2:2">
      <c r="B13736" s="3"/>
    </row>
    <row r="13737" spans="2:2">
      <c r="B13737" s="3"/>
    </row>
    <row r="13738" spans="2:2">
      <c r="B13738" s="3"/>
    </row>
    <row r="13739" spans="2:2">
      <c r="B13739" s="3"/>
    </row>
    <row r="13740" spans="2:2">
      <c r="B13740" s="3"/>
    </row>
    <row r="13741" spans="2:2">
      <c r="B13741" s="3"/>
    </row>
    <row r="13742" spans="2:2">
      <c r="B13742" s="3"/>
    </row>
    <row r="13743" spans="2:2">
      <c r="B13743" s="3"/>
    </row>
    <row r="13744" spans="2:2">
      <c r="B13744" s="3"/>
    </row>
    <row r="13745" spans="2:2">
      <c r="B13745" s="3"/>
    </row>
    <row r="13746" spans="2:2">
      <c r="B13746" s="3"/>
    </row>
    <row r="13747" spans="2:2">
      <c r="B13747" s="3"/>
    </row>
    <row r="13748" spans="2:2">
      <c r="B13748" s="3"/>
    </row>
    <row r="13749" spans="2:2">
      <c r="B13749" s="3"/>
    </row>
    <row r="13750" spans="2:2">
      <c r="B13750" s="3"/>
    </row>
    <row r="13751" spans="2:2">
      <c r="B13751" s="3"/>
    </row>
    <row r="13752" spans="2:2">
      <c r="B13752" s="3"/>
    </row>
    <row r="13753" spans="2:2">
      <c r="B13753" s="3"/>
    </row>
    <row r="13754" spans="2:2">
      <c r="B13754" s="3"/>
    </row>
    <row r="13755" spans="2:2">
      <c r="B13755" s="3"/>
    </row>
    <row r="13756" spans="2:2">
      <c r="B13756" s="3"/>
    </row>
    <row r="13757" spans="2:2">
      <c r="B13757" s="3"/>
    </row>
    <row r="13758" spans="2:2">
      <c r="B13758" s="3"/>
    </row>
    <row r="13759" spans="2:2">
      <c r="B13759" s="3"/>
    </row>
    <row r="13760" spans="2:2">
      <c r="B13760" s="3"/>
    </row>
    <row r="13761" spans="2:2">
      <c r="B13761" s="3"/>
    </row>
    <row r="13762" spans="2:2">
      <c r="B13762" s="3"/>
    </row>
    <row r="13763" spans="2:2">
      <c r="B13763" s="3"/>
    </row>
    <row r="13764" spans="2:2">
      <c r="B13764" s="3"/>
    </row>
    <row r="13765" spans="2:2">
      <c r="B13765" s="3"/>
    </row>
    <row r="13766" spans="2:2">
      <c r="B13766" s="3"/>
    </row>
    <row r="13767" spans="2:2">
      <c r="B13767" s="3"/>
    </row>
    <row r="13768" spans="2:2">
      <c r="B13768" s="3"/>
    </row>
    <row r="13769" spans="2:2">
      <c r="B13769" s="3"/>
    </row>
    <row r="13770" spans="2:2">
      <c r="B13770" s="3"/>
    </row>
    <row r="13771" spans="2:2">
      <c r="B13771" s="3"/>
    </row>
    <row r="13772" spans="2:2">
      <c r="B13772" s="3"/>
    </row>
    <row r="13773" spans="2:2">
      <c r="B13773" s="3"/>
    </row>
    <row r="13774" spans="2:2">
      <c r="B13774" s="3"/>
    </row>
    <row r="13775" spans="2:2">
      <c r="B13775" s="3"/>
    </row>
    <row r="13776" spans="2:2">
      <c r="B13776" s="3"/>
    </row>
    <row r="13777" spans="2:2">
      <c r="B13777" s="3"/>
    </row>
    <row r="13778" spans="2:2">
      <c r="B13778" s="3"/>
    </row>
    <row r="13779" spans="2:2">
      <c r="B13779" s="3"/>
    </row>
    <row r="13780" spans="2:2">
      <c r="B13780" s="3"/>
    </row>
    <row r="13781" spans="2:2">
      <c r="B13781" s="3"/>
    </row>
    <row r="13782" spans="2:2">
      <c r="B13782" s="3"/>
    </row>
    <row r="13783" spans="2:2">
      <c r="B13783" s="3"/>
    </row>
    <row r="13784" spans="2:2">
      <c r="B13784" s="3"/>
    </row>
    <row r="13785" spans="2:2">
      <c r="B13785" s="3"/>
    </row>
    <row r="13786" spans="2:2">
      <c r="B13786" s="3"/>
    </row>
    <row r="13787" spans="2:2">
      <c r="B13787" s="3"/>
    </row>
    <row r="13788" spans="2:2">
      <c r="B13788" s="3"/>
    </row>
    <row r="13789" spans="2:2">
      <c r="B13789" s="3"/>
    </row>
    <row r="13790" spans="2:2">
      <c r="B13790" s="3"/>
    </row>
    <row r="13791" spans="2:2">
      <c r="B13791" s="3"/>
    </row>
    <row r="13792" spans="2:2">
      <c r="B13792" s="3"/>
    </row>
    <row r="13793" spans="2:2">
      <c r="B13793" s="3"/>
    </row>
    <row r="13794" spans="2:2">
      <c r="B13794" s="3"/>
    </row>
    <row r="13795" spans="2:2">
      <c r="B13795" s="3"/>
    </row>
    <row r="13796" spans="2:2">
      <c r="B13796" s="3"/>
    </row>
    <row r="13797" spans="2:2">
      <c r="B13797" s="3"/>
    </row>
    <row r="13798" spans="2:2">
      <c r="B13798" s="3"/>
    </row>
    <row r="13799" spans="2:2">
      <c r="B13799" s="3"/>
    </row>
    <row r="13800" spans="2:2">
      <c r="B13800" s="3"/>
    </row>
    <row r="13801" spans="2:2">
      <c r="B13801" s="3"/>
    </row>
    <row r="13802" spans="2:2">
      <c r="B13802" s="3"/>
    </row>
    <row r="13803" spans="2:2">
      <c r="B13803" s="3"/>
    </row>
    <row r="13804" spans="2:2">
      <c r="B13804" s="3"/>
    </row>
    <row r="13805" spans="2:2">
      <c r="B13805" s="3"/>
    </row>
    <row r="13806" spans="2:2">
      <c r="B13806" s="3"/>
    </row>
    <row r="13807" spans="2:2">
      <c r="B13807" s="3"/>
    </row>
    <row r="13808" spans="2:2">
      <c r="B13808" s="3"/>
    </row>
    <row r="13809" spans="2:2">
      <c r="B13809" s="3"/>
    </row>
    <row r="13810" spans="2:2">
      <c r="B13810" s="3"/>
    </row>
    <row r="13811" spans="2:2">
      <c r="B13811" s="3"/>
    </row>
    <row r="13812" spans="2:2">
      <c r="B13812" s="3"/>
    </row>
    <row r="13813" spans="2:2">
      <c r="B13813" s="3"/>
    </row>
    <row r="13814" spans="2:2">
      <c r="B13814" s="3"/>
    </row>
    <row r="13815" spans="2:2">
      <c r="B13815" s="3"/>
    </row>
    <row r="13816" spans="2:2">
      <c r="B13816" s="3"/>
    </row>
    <row r="13817" spans="2:2">
      <c r="B13817" s="3"/>
    </row>
    <row r="13818" spans="2:2">
      <c r="B13818" s="3"/>
    </row>
    <row r="13819" spans="2:2">
      <c r="B13819" s="3"/>
    </row>
    <row r="13820" spans="2:2">
      <c r="B13820" s="3"/>
    </row>
    <row r="13821" spans="2:2">
      <c r="B13821" s="3"/>
    </row>
    <row r="13822" spans="2:2">
      <c r="B13822" s="3"/>
    </row>
    <row r="13823" spans="2:2">
      <c r="B13823" s="3"/>
    </row>
    <row r="13824" spans="2:2">
      <c r="B13824" s="3"/>
    </row>
    <row r="13825" spans="2:2">
      <c r="B13825" s="3"/>
    </row>
    <row r="13826" spans="2:2">
      <c r="B13826" s="3"/>
    </row>
    <row r="13827" spans="2:2">
      <c r="B13827" s="3"/>
    </row>
    <row r="13828" spans="2:2">
      <c r="B13828" s="3"/>
    </row>
    <row r="13829" spans="2:2">
      <c r="B13829" s="3"/>
    </row>
    <row r="13830" spans="2:2">
      <c r="B13830" s="3"/>
    </row>
    <row r="13831" spans="2:2">
      <c r="B13831" s="3"/>
    </row>
    <row r="13832" spans="2:2">
      <c r="B13832" s="3"/>
    </row>
    <row r="13833" spans="2:2">
      <c r="B13833" s="3"/>
    </row>
    <row r="13834" spans="2:2">
      <c r="B13834" s="3"/>
    </row>
    <row r="13835" spans="2:2">
      <c r="B13835" s="3"/>
    </row>
    <row r="13836" spans="2:2">
      <c r="B13836" s="3"/>
    </row>
    <row r="13837" spans="2:2">
      <c r="B13837" s="3"/>
    </row>
    <row r="13838" spans="2:2">
      <c r="B13838" s="3"/>
    </row>
    <row r="13839" spans="2:2">
      <c r="B13839" s="3"/>
    </row>
    <row r="13840" spans="2:2">
      <c r="B13840" s="3"/>
    </row>
    <row r="13841" spans="2:2">
      <c r="B13841" s="3"/>
    </row>
    <row r="13842" spans="2:2">
      <c r="B13842" s="3"/>
    </row>
    <row r="13843" spans="2:2">
      <c r="B13843" s="3"/>
    </row>
    <row r="13844" spans="2:2">
      <c r="B13844" s="3"/>
    </row>
    <row r="13845" spans="2:2">
      <c r="B13845" s="3"/>
    </row>
    <row r="13846" spans="2:2">
      <c r="B13846" s="3"/>
    </row>
    <row r="13847" spans="2:2">
      <c r="B13847" s="3"/>
    </row>
    <row r="13848" spans="2:2">
      <c r="B13848" s="3"/>
    </row>
    <row r="13849" spans="2:2">
      <c r="B13849" s="3"/>
    </row>
    <row r="13850" spans="2:2">
      <c r="B13850" s="3"/>
    </row>
    <row r="13851" spans="2:2">
      <c r="B13851" s="3"/>
    </row>
    <row r="13852" spans="2:2">
      <c r="B13852" s="3"/>
    </row>
    <row r="13853" spans="2:2">
      <c r="B13853" s="3"/>
    </row>
    <row r="13854" spans="2:2">
      <c r="B13854" s="3"/>
    </row>
    <row r="13855" spans="2:2">
      <c r="B13855" s="3"/>
    </row>
    <row r="13856" spans="2:2">
      <c r="B13856" s="3"/>
    </row>
    <row r="13857" spans="2:2">
      <c r="B13857" s="3"/>
    </row>
    <row r="13858" spans="2:2">
      <c r="B13858" s="3"/>
    </row>
    <row r="13859" spans="2:2">
      <c r="B13859" s="3"/>
    </row>
    <row r="13860" spans="2:2">
      <c r="B13860" s="3"/>
    </row>
    <row r="13861" spans="2:2">
      <c r="B13861" s="3"/>
    </row>
    <row r="13862" spans="2:2">
      <c r="B13862" s="3"/>
    </row>
    <row r="13863" spans="2:2">
      <c r="B13863" s="3"/>
    </row>
    <row r="13864" spans="2:2">
      <c r="B13864" s="3"/>
    </row>
    <row r="13865" spans="2:2">
      <c r="B13865" s="3"/>
    </row>
    <row r="13866" spans="2:2">
      <c r="B13866" s="3"/>
    </row>
    <row r="13867" spans="2:2">
      <c r="B13867" s="3"/>
    </row>
    <row r="13868" spans="2:2">
      <c r="B13868" s="3"/>
    </row>
    <row r="13869" spans="2:2">
      <c r="B13869" s="3"/>
    </row>
    <row r="13870" spans="2:2">
      <c r="B13870" s="3"/>
    </row>
    <row r="13871" spans="2:2">
      <c r="B13871" s="3"/>
    </row>
    <row r="13872" spans="2:2">
      <c r="B13872" s="3"/>
    </row>
    <row r="13873" spans="2:2">
      <c r="B13873" s="3"/>
    </row>
    <row r="13874" spans="2:2">
      <c r="B13874" s="3"/>
    </row>
    <row r="13875" spans="2:2">
      <c r="B13875" s="3"/>
    </row>
    <row r="13876" spans="2:2">
      <c r="B13876" s="3"/>
    </row>
    <row r="13877" spans="2:2">
      <c r="B13877" s="3"/>
    </row>
    <row r="13878" spans="2:2">
      <c r="B13878" s="3"/>
    </row>
    <row r="13879" spans="2:2">
      <c r="B13879" s="3"/>
    </row>
    <row r="13880" spans="2:2">
      <c r="B13880" s="3"/>
    </row>
    <row r="13881" spans="2:2">
      <c r="B13881" s="3"/>
    </row>
    <row r="13882" spans="2:2">
      <c r="B13882" s="3"/>
    </row>
    <row r="13883" spans="2:2">
      <c r="B13883" s="3"/>
    </row>
    <row r="13884" spans="2:2">
      <c r="B13884" s="3"/>
    </row>
    <row r="13885" spans="2:2">
      <c r="B13885" s="3"/>
    </row>
    <row r="13886" spans="2:2">
      <c r="B13886" s="3"/>
    </row>
    <row r="13887" spans="2:2">
      <c r="B13887" s="3"/>
    </row>
    <row r="13888" spans="2:2">
      <c r="B13888" s="3"/>
    </row>
    <row r="13889" spans="2:2">
      <c r="B13889" s="3"/>
    </row>
    <row r="13890" spans="2:2">
      <c r="B13890" s="3"/>
    </row>
    <row r="13891" spans="2:2">
      <c r="B13891" s="3"/>
    </row>
    <row r="13892" spans="2:2">
      <c r="B13892" s="3"/>
    </row>
    <row r="13893" spans="2:2">
      <c r="B13893" s="3"/>
    </row>
    <row r="13894" spans="2:2">
      <c r="B13894" s="3"/>
    </row>
    <row r="13895" spans="2:2">
      <c r="B13895" s="3"/>
    </row>
    <row r="13896" spans="2:2">
      <c r="B13896" s="3"/>
    </row>
    <row r="13897" spans="2:2">
      <c r="B13897" s="3"/>
    </row>
    <row r="13898" spans="2:2">
      <c r="B13898" s="3"/>
    </row>
    <row r="13899" spans="2:2">
      <c r="B13899" s="3"/>
    </row>
    <row r="13900" spans="2:2">
      <c r="B13900" s="3"/>
    </row>
    <row r="13901" spans="2:2">
      <c r="B13901" s="3"/>
    </row>
    <row r="13902" spans="2:2">
      <c r="B13902" s="3"/>
    </row>
    <row r="13903" spans="2:2">
      <c r="B13903" s="3"/>
    </row>
    <row r="13904" spans="2:2">
      <c r="B13904" s="3"/>
    </row>
    <row r="13905" spans="2:2">
      <c r="B13905" s="3"/>
    </row>
    <row r="13906" spans="2:2">
      <c r="B13906" s="3"/>
    </row>
    <row r="13907" spans="2:2">
      <c r="B13907" s="3"/>
    </row>
    <row r="13908" spans="2:2">
      <c r="B13908" s="3"/>
    </row>
    <row r="13909" spans="2:2">
      <c r="B13909" s="3"/>
    </row>
    <row r="13910" spans="2:2">
      <c r="B13910" s="3"/>
    </row>
    <row r="13911" spans="2:2">
      <c r="B13911" s="3"/>
    </row>
    <row r="13912" spans="2:2">
      <c r="B13912" s="3"/>
    </row>
    <row r="13913" spans="2:2">
      <c r="B13913" s="3"/>
    </row>
    <row r="13914" spans="2:2">
      <c r="B13914" s="3"/>
    </row>
    <row r="13915" spans="2:2">
      <c r="B13915" s="3"/>
    </row>
    <row r="13916" spans="2:2">
      <c r="B13916" s="3"/>
    </row>
    <row r="13917" spans="2:2">
      <c r="B13917" s="3"/>
    </row>
    <row r="13918" spans="2:2">
      <c r="B13918" s="3"/>
    </row>
    <row r="13919" spans="2:2">
      <c r="B13919" s="3"/>
    </row>
    <row r="13920" spans="2:2">
      <c r="B13920" s="3"/>
    </row>
    <row r="13921" spans="2:2">
      <c r="B13921" s="3"/>
    </row>
    <row r="13922" spans="2:2">
      <c r="B13922" s="3"/>
    </row>
    <row r="13923" spans="2:2">
      <c r="B13923" s="3"/>
    </row>
    <row r="13924" spans="2:2">
      <c r="B13924" s="3"/>
    </row>
    <row r="13925" spans="2:2">
      <c r="B13925" s="3"/>
    </row>
    <row r="13926" spans="2:2">
      <c r="B13926" s="3"/>
    </row>
    <row r="13927" spans="2:2">
      <c r="B13927" s="3"/>
    </row>
    <row r="13928" spans="2:2">
      <c r="B13928" s="3"/>
    </row>
    <row r="13929" spans="2:2">
      <c r="B13929" s="3"/>
    </row>
    <row r="13930" spans="2:2">
      <c r="B13930" s="3"/>
    </row>
    <row r="13931" spans="2:2">
      <c r="B13931" s="3"/>
    </row>
    <row r="13932" spans="2:2">
      <c r="B13932" s="3"/>
    </row>
    <row r="13933" spans="2:2">
      <c r="B13933" s="3"/>
    </row>
    <row r="13934" spans="2:2">
      <c r="B13934" s="3"/>
    </row>
    <row r="13935" spans="2:2">
      <c r="B13935" s="3"/>
    </row>
    <row r="13936" spans="2:2">
      <c r="B13936" s="3"/>
    </row>
    <row r="13937" spans="2:2">
      <c r="B13937" s="3"/>
    </row>
    <row r="13938" spans="2:2">
      <c r="B13938" s="3"/>
    </row>
    <row r="13939" spans="2:2">
      <c r="B13939" s="3"/>
    </row>
    <row r="13940" spans="2:2">
      <c r="B13940" s="3"/>
    </row>
    <row r="13941" spans="2:2">
      <c r="B13941" s="3"/>
    </row>
    <row r="13942" spans="2:2">
      <c r="B13942" s="3"/>
    </row>
    <row r="13943" spans="2:2">
      <c r="B13943" s="3"/>
    </row>
    <row r="13944" spans="2:2">
      <c r="B13944" s="3"/>
    </row>
    <row r="13945" spans="2:2">
      <c r="B13945" s="3"/>
    </row>
    <row r="13946" spans="2:2">
      <c r="B13946" s="3"/>
    </row>
    <row r="13947" spans="2:2">
      <c r="B13947" s="3"/>
    </row>
    <row r="13948" spans="2:2">
      <c r="B13948" s="3"/>
    </row>
    <row r="13949" spans="2:2">
      <c r="B13949" s="3"/>
    </row>
    <row r="13950" spans="2:2">
      <c r="B13950" s="3"/>
    </row>
    <row r="13951" spans="2:2">
      <c r="B13951" s="3"/>
    </row>
    <row r="13952" spans="2:2">
      <c r="B13952" s="3"/>
    </row>
    <row r="13953" spans="2:2">
      <c r="B13953" s="3"/>
    </row>
    <row r="13954" spans="2:2">
      <c r="B13954" s="3"/>
    </row>
    <row r="13955" spans="2:2">
      <c r="B13955" s="3"/>
    </row>
    <row r="13956" spans="2:2">
      <c r="B13956" s="3"/>
    </row>
    <row r="13957" spans="2:2">
      <c r="B13957" s="3"/>
    </row>
    <row r="13958" spans="2:2">
      <c r="B13958" s="3"/>
    </row>
    <row r="13959" spans="2:2">
      <c r="B13959" s="3"/>
    </row>
    <row r="13960" spans="2:2">
      <c r="B13960" s="3"/>
    </row>
    <row r="13961" spans="2:2">
      <c r="B13961" s="3"/>
    </row>
    <row r="13962" spans="2:2">
      <c r="B13962" s="3"/>
    </row>
    <row r="13963" spans="2:2">
      <c r="B13963" s="3"/>
    </row>
    <row r="13964" spans="2:2">
      <c r="B13964" s="3"/>
    </row>
    <row r="13965" spans="2:2">
      <c r="B13965" s="3"/>
    </row>
    <row r="13966" spans="2:2">
      <c r="B13966" s="3"/>
    </row>
    <row r="13967" spans="2:2">
      <c r="B13967" s="3"/>
    </row>
    <row r="13968" spans="2:2">
      <c r="B13968" s="3"/>
    </row>
    <row r="13969" spans="2:2">
      <c r="B13969" s="3"/>
    </row>
    <row r="13970" spans="2:2">
      <c r="B13970" s="3"/>
    </row>
    <row r="13971" spans="2:2">
      <c r="B13971" s="3"/>
    </row>
    <row r="13972" spans="2:2">
      <c r="B13972" s="3"/>
    </row>
    <row r="13973" spans="2:2">
      <c r="B13973" s="3"/>
    </row>
    <row r="13974" spans="2:2">
      <c r="B13974" s="3"/>
    </row>
    <row r="13975" spans="2:2">
      <c r="B13975" s="3"/>
    </row>
    <row r="13976" spans="2:2">
      <c r="B13976" s="3"/>
    </row>
    <row r="13977" spans="2:2">
      <c r="B13977" s="3"/>
    </row>
    <row r="13978" spans="2:2">
      <c r="B13978" s="3"/>
    </row>
    <row r="13979" spans="2:2">
      <c r="B13979" s="3"/>
    </row>
    <row r="13980" spans="2:2">
      <c r="B13980" s="3"/>
    </row>
    <row r="13981" spans="2:2">
      <c r="B13981" s="3"/>
    </row>
    <row r="13982" spans="2:2">
      <c r="B13982" s="3"/>
    </row>
    <row r="13983" spans="2:2">
      <c r="B13983" s="3"/>
    </row>
    <row r="13984" spans="2:2">
      <c r="B13984" s="3"/>
    </row>
    <row r="13985" spans="2:2">
      <c r="B13985" s="3"/>
    </row>
    <row r="13986" spans="2:2">
      <c r="B13986" s="3"/>
    </row>
    <row r="13987" spans="2:2">
      <c r="B13987" s="3"/>
    </row>
    <row r="13988" spans="2:2">
      <c r="B13988" s="3"/>
    </row>
    <row r="13989" spans="2:2">
      <c r="B13989" s="3"/>
    </row>
    <row r="13990" spans="2:2">
      <c r="B13990" s="3"/>
    </row>
    <row r="13991" spans="2:2">
      <c r="B13991" s="3"/>
    </row>
    <row r="13992" spans="2:2">
      <c r="B13992" s="3"/>
    </row>
    <row r="13993" spans="2:2">
      <c r="B13993" s="3"/>
    </row>
    <row r="13994" spans="2:2">
      <c r="B13994" s="3"/>
    </row>
    <row r="13995" spans="2:2">
      <c r="B13995" s="3"/>
    </row>
    <row r="13996" spans="2:2">
      <c r="B13996" s="3"/>
    </row>
    <row r="13997" spans="2:2">
      <c r="B13997" s="3"/>
    </row>
    <row r="13998" spans="2:2">
      <c r="B13998" s="3"/>
    </row>
    <row r="13999" spans="2:2">
      <c r="B13999" s="3"/>
    </row>
    <row r="14000" spans="2:2">
      <c r="B14000" s="3"/>
    </row>
    <row r="14001" spans="2:2">
      <c r="B14001" s="3"/>
    </row>
    <row r="14002" spans="2:2">
      <c r="B14002" s="3"/>
    </row>
    <row r="14003" spans="2:2">
      <c r="B14003" s="3"/>
    </row>
    <row r="14004" spans="2:2">
      <c r="B14004" s="3"/>
    </row>
    <row r="14005" spans="2:2">
      <c r="B14005" s="3"/>
    </row>
    <row r="14006" spans="2:2">
      <c r="B14006" s="3"/>
    </row>
    <row r="14007" spans="2:2">
      <c r="B14007" s="3"/>
    </row>
    <row r="14008" spans="2:2">
      <c r="B14008" s="3"/>
    </row>
    <row r="14009" spans="2:2">
      <c r="B14009" s="3"/>
    </row>
    <row r="14010" spans="2:2">
      <c r="B14010" s="3"/>
    </row>
    <row r="14011" spans="2:2">
      <c r="B14011" s="3"/>
    </row>
    <row r="14012" spans="2:2">
      <c r="B14012" s="3"/>
    </row>
    <row r="14013" spans="2:2">
      <c r="B14013" s="3"/>
    </row>
    <row r="14014" spans="2:2">
      <c r="B14014" s="3"/>
    </row>
    <row r="14015" spans="2:2">
      <c r="B14015" s="3"/>
    </row>
    <row r="14016" spans="2:2">
      <c r="B14016" s="3"/>
    </row>
    <row r="14017" spans="2:2">
      <c r="B14017" s="3"/>
    </row>
    <row r="14018" spans="2:2">
      <c r="B14018" s="3"/>
    </row>
    <row r="14019" spans="2:2">
      <c r="B14019" s="3"/>
    </row>
    <row r="14020" spans="2:2">
      <c r="B14020" s="3"/>
    </row>
    <row r="14021" spans="2:2">
      <c r="B14021" s="3"/>
    </row>
    <row r="14022" spans="2:2">
      <c r="B14022" s="3"/>
    </row>
    <row r="14023" spans="2:2">
      <c r="B14023" s="3"/>
    </row>
    <row r="14024" spans="2:2">
      <c r="B14024" s="3"/>
    </row>
    <row r="14025" spans="2:2">
      <c r="B14025" s="3"/>
    </row>
    <row r="14026" spans="2:2">
      <c r="B14026" s="3"/>
    </row>
    <row r="14027" spans="2:2">
      <c r="B14027" s="3"/>
    </row>
    <row r="14028" spans="2:2">
      <c r="B14028" s="3"/>
    </row>
    <row r="14029" spans="2:2">
      <c r="B14029" s="3"/>
    </row>
    <row r="14030" spans="2:2">
      <c r="B14030" s="3"/>
    </row>
    <row r="14031" spans="2:2">
      <c r="B14031" s="3"/>
    </row>
    <row r="14032" spans="2:2">
      <c r="B14032" s="3"/>
    </row>
    <row r="14033" spans="2:2">
      <c r="B14033" s="3"/>
    </row>
    <row r="14034" spans="2:2">
      <c r="B14034" s="3"/>
    </row>
    <row r="14035" spans="2:2">
      <c r="B14035" s="3"/>
    </row>
    <row r="14036" spans="2:2">
      <c r="B14036" s="3"/>
    </row>
    <row r="14037" spans="2:2">
      <c r="B14037" s="3"/>
    </row>
    <row r="14038" spans="2:2">
      <c r="B14038" s="3"/>
    </row>
    <row r="14039" spans="2:2">
      <c r="B14039" s="3"/>
    </row>
    <row r="14040" spans="2:2">
      <c r="B14040" s="3"/>
    </row>
    <row r="14041" spans="2:2">
      <c r="B14041" s="3"/>
    </row>
    <row r="14042" spans="2:2">
      <c r="B14042" s="3"/>
    </row>
    <row r="14043" spans="2:2">
      <c r="B14043" s="3"/>
    </row>
    <row r="14044" spans="2:2">
      <c r="B14044" s="3"/>
    </row>
    <row r="14045" spans="2:2">
      <c r="B14045" s="3"/>
    </row>
    <row r="14046" spans="2:2">
      <c r="B14046" s="3"/>
    </row>
    <row r="14047" spans="2:2">
      <c r="B14047" s="3"/>
    </row>
    <row r="14048" spans="2:2">
      <c r="B14048" s="3"/>
    </row>
    <row r="14049" spans="2:2">
      <c r="B14049" s="3"/>
    </row>
    <row r="14050" spans="2:2">
      <c r="B14050" s="3"/>
    </row>
    <row r="14051" spans="2:2">
      <c r="B14051" s="3"/>
    </row>
    <row r="14052" spans="2:2">
      <c r="B14052" s="3"/>
    </row>
    <row r="14053" spans="2:2">
      <c r="B14053" s="3"/>
    </row>
    <row r="14054" spans="2:2">
      <c r="B14054" s="3"/>
    </row>
    <row r="14055" spans="2:2">
      <c r="B14055" s="3"/>
    </row>
    <row r="14056" spans="2:2">
      <c r="B14056" s="3"/>
    </row>
    <row r="14057" spans="2:2">
      <c r="B14057" s="3"/>
    </row>
    <row r="14058" spans="2:2">
      <c r="B14058" s="3"/>
    </row>
    <row r="14059" spans="2:2">
      <c r="B14059" s="3"/>
    </row>
    <row r="14060" spans="2:2">
      <c r="B14060" s="3"/>
    </row>
    <row r="14061" spans="2:2">
      <c r="B14061" s="3"/>
    </row>
    <row r="14062" spans="2:2">
      <c r="B14062" s="3"/>
    </row>
    <row r="14063" spans="2:2">
      <c r="B14063" s="3"/>
    </row>
    <row r="14064" spans="2:2">
      <c r="B14064" s="3"/>
    </row>
    <row r="14065" spans="2:2">
      <c r="B14065" s="3"/>
    </row>
    <row r="14066" spans="2:2">
      <c r="B14066" s="3"/>
    </row>
    <row r="14067" spans="2:2">
      <c r="B14067" s="3"/>
    </row>
    <row r="14068" spans="2:2">
      <c r="B14068" s="3"/>
    </row>
    <row r="14069" spans="2:2">
      <c r="B14069" s="3"/>
    </row>
    <row r="14070" spans="2:2">
      <c r="B14070" s="3"/>
    </row>
    <row r="14071" spans="2:2">
      <c r="B14071" s="3"/>
    </row>
    <row r="14072" spans="2:2">
      <c r="B14072" s="3"/>
    </row>
    <row r="14073" spans="2:2">
      <c r="B14073" s="3"/>
    </row>
    <row r="14074" spans="2:2">
      <c r="B14074" s="3"/>
    </row>
    <row r="14075" spans="2:2">
      <c r="B14075" s="3"/>
    </row>
    <row r="14076" spans="2:2">
      <c r="B14076" s="3"/>
    </row>
    <row r="14077" spans="2:2">
      <c r="B14077" s="3"/>
    </row>
    <row r="14078" spans="2:2">
      <c r="B14078" s="3"/>
    </row>
    <row r="14079" spans="2:2">
      <c r="B14079" s="3"/>
    </row>
    <row r="14080" spans="2:2">
      <c r="B14080" s="3"/>
    </row>
    <row r="14081" spans="2:2">
      <c r="B14081" s="3"/>
    </row>
    <row r="14082" spans="2:2">
      <c r="B14082" s="3"/>
    </row>
    <row r="14083" spans="2:2">
      <c r="B14083" s="3"/>
    </row>
    <row r="14084" spans="2:2">
      <c r="B14084" s="3"/>
    </row>
    <row r="14085" spans="2:2">
      <c r="B14085" s="3"/>
    </row>
    <row r="14086" spans="2:2">
      <c r="B14086" s="3"/>
    </row>
    <row r="14087" spans="2:2">
      <c r="B14087" s="3"/>
    </row>
    <row r="14088" spans="2:2">
      <c r="B14088" s="3"/>
    </row>
    <row r="14089" spans="2:2">
      <c r="B14089" s="3"/>
    </row>
    <row r="14090" spans="2:2">
      <c r="B14090" s="3"/>
    </row>
    <row r="14091" spans="2:2">
      <c r="B14091" s="3"/>
    </row>
    <row r="14092" spans="2:2">
      <c r="B14092" s="3"/>
    </row>
    <row r="14093" spans="2:2">
      <c r="B14093" s="3"/>
    </row>
    <row r="14094" spans="2:2">
      <c r="B14094" s="3"/>
    </row>
    <row r="14095" spans="2:2">
      <c r="B14095" s="3"/>
    </row>
    <row r="14096" spans="2:2">
      <c r="B14096" s="3"/>
    </row>
    <row r="14097" spans="2:2">
      <c r="B14097" s="3"/>
    </row>
    <row r="14098" spans="2:2">
      <c r="B14098" s="3"/>
    </row>
    <row r="14099" spans="2:2">
      <c r="B14099" s="3"/>
    </row>
    <row r="14100" spans="2:2">
      <c r="B14100" s="3"/>
    </row>
    <row r="14101" spans="2:2">
      <c r="B14101" s="3"/>
    </row>
    <row r="14102" spans="2:2">
      <c r="B14102" s="3"/>
    </row>
    <row r="14103" spans="2:2">
      <c r="B14103" s="3"/>
    </row>
    <row r="14104" spans="2:2">
      <c r="B14104" s="3"/>
    </row>
    <row r="14105" spans="2:2">
      <c r="B14105" s="3"/>
    </row>
    <row r="14106" spans="2:2">
      <c r="B14106" s="3"/>
    </row>
    <row r="14107" spans="2:2">
      <c r="B14107" s="3"/>
    </row>
    <row r="14108" spans="2:2">
      <c r="B14108" s="3"/>
    </row>
    <row r="14109" spans="2:2">
      <c r="B14109" s="3"/>
    </row>
    <row r="14110" spans="2:2">
      <c r="B14110" s="3"/>
    </row>
    <row r="14111" spans="2:2">
      <c r="B14111" s="3"/>
    </row>
    <row r="14112" spans="2:2">
      <c r="B14112" s="3"/>
    </row>
    <row r="14113" spans="2:2">
      <c r="B14113" s="3"/>
    </row>
    <row r="14114" spans="2:2">
      <c r="B14114" s="3"/>
    </row>
    <row r="14115" spans="2:2">
      <c r="B14115" s="3"/>
    </row>
    <row r="14116" spans="2:2">
      <c r="B14116" s="3"/>
    </row>
    <row r="14117" spans="2:2">
      <c r="B14117" s="3"/>
    </row>
    <row r="14118" spans="2:2">
      <c r="B14118" s="3"/>
    </row>
    <row r="14119" spans="2:2">
      <c r="B14119" s="3"/>
    </row>
    <row r="14120" spans="2:2">
      <c r="B14120" s="3"/>
    </row>
    <row r="14121" spans="2:2">
      <c r="B14121" s="3"/>
    </row>
    <row r="14122" spans="2:2">
      <c r="B14122" s="3"/>
    </row>
    <row r="14123" spans="2:2">
      <c r="B14123" s="3"/>
    </row>
    <row r="14124" spans="2:2">
      <c r="B14124" s="3"/>
    </row>
    <row r="14125" spans="2:2">
      <c r="B14125" s="3"/>
    </row>
    <row r="14126" spans="2:2">
      <c r="B14126" s="3"/>
    </row>
    <row r="14127" spans="2:2">
      <c r="B14127" s="3"/>
    </row>
    <row r="14128" spans="2:2">
      <c r="B14128" s="3"/>
    </row>
    <row r="14129" spans="2:2">
      <c r="B14129" s="3"/>
    </row>
    <row r="14130" spans="2:2">
      <c r="B14130" s="3"/>
    </row>
    <row r="14131" spans="2:2">
      <c r="B14131" s="3"/>
    </row>
    <row r="14132" spans="2:2">
      <c r="B14132" s="3"/>
    </row>
    <row r="14133" spans="2:2">
      <c r="B14133" s="3"/>
    </row>
    <row r="14134" spans="2:2">
      <c r="B14134" s="3"/>
    </row>
    <row r="14135" spans="2:2">
      <c r="B14135" s="3"/>
    </row>
    <row r="14136" spans="2:2">
      <c r="B14136" s="3"/>
    </row>
    <row r="14137" spans="2:2">
      <c r="B14137" s="3"/>
    </row>
    <row r="14138" spans="2:2">
      <c r="B14138" s="3"/>
    </row>
    <row r="14139" spans="2:2">
      <c r="B14139" s="3"/>
    </row>
    <row r="14140" spans="2:2">
      <c r="B14140" s="3"/>
    </row>
    <row r="14141" spans="2:2">
      <c r="B14141" s="3"/>
    </row>
    <row r="14142" spans="2:2">
      <c r="B14142" s="3"/>
    </row>
    <row r="14143" spans="2:2">
      <c r="B14143" s="3"/>
    </row>
    <row r="14144" spans="2:2">
      <c r="B14144" s="3"/>
    </row>
    <row r="14145" spans="2:2">
      <c r="B14145" s="3"/>
    </row>
    <row r="14146" spans="2:2">
      <c r="B14146" s="3"/>
    </row>
    <row r="14147" spans="2:2">
      <c r="B14147" s="3"/>
    </row>
    <row r="14148" spans="2:2">
      <c r="B14148" s="3"/>
    </row>
    <row r="14149" spans="2:2">
      <c r="B14149" s="3"/>
    </row>
    <row r="14150" spans="2:2">
      <c r="B14150" s="3"/>
    </row>
    <row r="14151" spans="2:2">
      <c r="B14151" s="3"/>
    </row>
    <row r="14152" spans="2:2">
      <c r="B14152" s="3"/>
    </row>
    <row r="14153" spans="2:2">
      <c r="B14153" s="3"/>
    </row>
    <row r="14154" spans="2:2">
      <c r="B14154" s="3"/>
    </row>
    <row r="14155" spans="2:2">
      <c r="B14155" s="3"/>
    </row>
    <row r="14156" spans="2:2">
      <c r="B14156" s="3"/>
    </row>
    <row r="14157" spans="2:2">
      <c r="B14157" s="3"/>
    </row>
    <row r="14158" spans="2:2">
      <c r="B14158" s="3"/>
    </row>
    <row r="14159" spans="2:2">
      <c r="B14159" s="3"/>
    </row>
    <row r="14160" spans="2:2">
      <c r="B14160" s="3"/>
    </row>
    <row r="14161" spans="2:2">
      <c r="B14161" s="3"/>
    </row>
    <row r="14162" spans="2:2">
      <c r="B14162" s="3"/>
    </row>
    <row r="14163" spans="2:2">
      <c r="B14163" s="3"/>
    </row>
    <row r="14164" spans="2:2">
      <c r="B14164" s="3"/>
    </row>
    <row r="14165" spans="2:2">
      <c r="B14165" s="3"/>
    </row>
    <row r="14166" spans="2:2">
      <c r="B14166" s="3"/>
    </row>
    <row r="14167" spans="2:2">
      <c r="B14167" s="3"/>
    </row>
    <row r="14168" spans="2:2">
      <c r="B14168" s="3"/>
    </row>
    <row r="14169" spans="2:2">
      <c r="B14169" s="3"/>
    </row>
    <row r="14170" spans="2:2">
      <c r="B14170" s="3"/>
    </row>
    <row r="14171" spans="2:2">
      <c r="B14171" s="3"/>
    </row>
    <row r="14172" spans="2:2">
      <c r="B14172" s="3"/>
    </row>
    <row r="14173" spans="2:2">
      <c r="B14173" s="3"/>
    </row>
    <row r="14174" spans="2:2">
      <c r="B14174" s="3"/>
    </row>
    <row r="14175" spans="2:2">
      <c r="B14175" s="3"/>
    </row>
    <row r="14176" spans="2:2">
      <c r="B14176" s="3"/>
    </row>
    <row r="14177" spans="2:2">
      <c r="B14177" s="3"/>
    </row>
    <row r="14178" spans="2:2">
      <c r="B14178" s="3"/>
    </row>
    <row r="14179" spans="2:2">
      <c r="B14179" s="3"/>
    </row>
    <row r="14180" spans="2:2">
      <c r="B14180" s="3"/>
    </row>
    <row r="14181" spans="2:2">
      <c r="B14181" s="3"/>
    </row>
    <row r="14182" spans="2:2">
      <c r="B14182" s="3"/>
    </row>
    <row r="14183" spans="2:2">
      <c r="B14183" s="3"/>
    </row>
    <row r="14184" spans="2:2">
      <c r="B14184" s="3"/>
    </row>
    <row r="14185" spans="2:2">
      <c r="B14185" s="3"/>
    </row>
    <row r="14186" spans="2:2">
      <c r="B14186" s="3"/>
    </row>
    <row r="14187" spans="2:2">
      <c r="B14187" s="3"/>
    </row>
    <row r="14188" spans="2:2">
      <c r="B14188" s="3"/>
    </row>
    <row r="14189" spans="2:2">
      <c r="B14189" s="3"/>
    </row>
    <row r="14190" spans="2:2">
      <c r="B14190" s="3"/>
    </row>
    <row r="14191" spans="2:2">
      <c r="B14191" s="3"/>
    </row>
    <row r="14192" spans="2:2">
      <c r="B14192" s="3"/>
    </row>
    <row r="14193" spans="2:2">
      <c r="B14193" s="3"/>
    </row>
    <row r="14194" spans="2:2">
      <c r="B14194" s="3"/>
    </row>
    <row r="14195" spans="2:2">
      <c r="B14195" s="3"/>
    </row>
    <row r="14196" spans="2:2">
      <c r="B14196" s="3"/>
    </row>
    <row r="14197" spans="2:2">
      <c r="B14197" s="3"/>
    </row>
    <row r="14198" spans="2:2">
      <c r="B14198" s="3"/>
    </row>
    <row r="14199" spans="2:2">
      <c r="B14199" s="3"/>
    </row>
    <row r="14200" spans="2:2">
      <c r="B14200" s="3"/>
    </row>
    <row r="14201" spans="2:2">
      <c r="B14201" s="3"/>
    </row>
    <row r="14202" spans="2:2">
      <c r="B14202" s="3"/>
    </row>
    <row r="14203" spans="2:2">
      <c r="B14203" s="3"/>
    </row>
    <row r="14204" spans="2:2">
      <c r="B14204" s="3"/>
    </row>
    <row r="14205" spans="2:2">
      <c r="B14205" s="3"/>
    </row>
    <row r="14206" spans="2:2">
      <c r="B14206" s="3"/>
    </row>
    <row r="14207" spans="2:2">
      <c r="B14207" s="3"/>
    </row>
    <row r="14208" spans="2:2">
      <c r="B14208" s="3"/>
    </row>
    <row r="14209" spans="2:2">
      <c r="B14209" s="3"/>
    </row>
    <row r="14210" spans="2:2">
      <c r="B14210" s="3"/>
    </row>
    <row r="14211" spans="2:2">
      <c r="B14211" s="3"/>
    </row>
    <row r="14212" spans="2:2">
      <c r="B14212" s="3"/>
    </row>
    <row r="14213" spans="2:2">
      <c r="B14213" s="3"/>
    </row>
    <row r="14214" spans="2:2">
      <c r="B14214" s="3"/>
    </row>
    <row r="14215" spans="2:2">
      <c r="B14215" s="3"/>
    </row>
    <row r="14216" spans="2:2">
      <c r="B14216" s="3"/>
    </row>
    <row r="14217" spans="2:2">
      <c r="B14217" s="3"/>
    </row>
    <row r="14218" spans="2:2">
      <c r="B14218" s="3"/>
    </row>
    <row r="14219" spans="2:2">
      <c r="B14219" s="3"/>
    </row>
    <row r="14220" spans="2:2">
      <c r="B14220" s="3"/>
    </row>
    <row r="14221" spans="2:2">
      <c r="B14221" s="3"/>
    </row>
    <row r="14222" spans="2:2">
      <c r="B14222" s="3"/>
    </row>
    <row r="14223" spans="2:2">
      <c r="B14223" s="3"/>
    </row>
    <row r="14224" spans="2:2">
      <c r="B14224" s="3"/>
    </row>
    <row r="14225" spans="2:2">
      <c r="B14225" s="3"/>
    </row>
    <row r="14226" spans="2:2">
      <c r="B14226" s="3"/>
    </row>
    <row r="14227" spans="2:2">
      <c r="B14227" s="3"/>
    </row>
    <row r="14228" spans="2:2">
      <c r="B14228" s="3"/>
    </row>
    <row r="14229" spans="2:2">
      <c r="B14229" s="3"/>
    </row>
    <row r="14230" spans="2:2">
      <c r="B14230" s="3"/>
    </row>
    <row r="14231" spans="2:2">
      <c r="B14231" s="3"/>
    </row>
    <row r="14232" spans="2:2">
      <c r="B14232" s="3"/>
    </row>
    <row r="14233" spans="2:2">
      <c r="B14233" s="3"/>
    </row>
    <row r="14234" spans="2:2">
      <c r="B14234" s="3"/>
    </row>
    <row r="14235" spans="2:2">
      <c r="B14235" s="3"/>
    </row>
    <row r="14236" spans="2:2">
      <c r="B14236" s="3"/>
    </row>
    <row r="14237" spans="2:2">
      <c r="B14237" s="3"/>
    </row>
    <row r="14238" spans="2:2">
      <c r="B14238" s="3"/>
    </row>
    <row r="14239" spans="2:2">
      <c r="B14239" s="3"/>
    </row>
    <row r="14240" spans="2:2">
      <c r="B14240" s="3"/>
    </row>
    <row r="14241" spans="2:2">
      <c r="B14241" s="3"/>
    </row>
    <row r="14242" spans="2:2">
      <c r="B14242" s="3"/>
    </row>
    <row r="14243" spans="2:2">
      <c r="B14243" s="3"/>
    </row>
    <row r="14244" spans="2:2">
      <c r="B14244" s="3"/>
    </row>
    <row r="14245" spans="2:2">
      <c r="B14245" s="3"/>
    </row>
    <row r="14246" spans="2:2">
      <c r="B14246" s="3"/>
    </row>
    <row r="14247" spans="2:2">
      <c r="B14247" s="3"/>
    </row>
    <row r="14248" spans="2:2">
      <c r="B14248" s="3"/>
    </row>
    <row r="14249" spans="2:2">
      <c r="B14249" s="3"/>
    </row>
    <row r="14250" spans="2:2">
      <c r="B14250" s="3"/>
    </row>
    <row r="14251" spans="2:2">
      <c r="B14251" s="3"/>
    </row>
    <row r="14252" spans="2:2">
      <c r="B14252" s="3"/>
    </row>
    <row r="14253" spans="2:2">
      <c r="B14253" s="3"/>
    </row>
    <row r="14254" spans="2:2">
      <c r="B14254" s="3"/>
    </row>
    <row r="14255" spans="2:2">
      <c r="B14255" s="3"/>
    </row>
    <row r="14256" spans="2:2">
      <c r="B14256" s="3"/>
    </row>
    <row r="14257" spans="2:2">
      <c r="B14257" s="3"/>
    </row>
    <row r="14258" spans="2:2">
      <c r="B14258" s="3"/>
    </row>
    <row r="14259" spans="2:2">
      <c r="B14259" s="3"/>
    </row>
    <row r="14260" spans="2:2">
      <c r="B14260" s="3"/>
    </row>
    <row r="14261" spans="2:2">
      <c r="B14261" s="3"/>
    </row>
    <row r="14262" spans="2:2">
      <c r="B14262" s="3"/>
    </row>
    <row r="14263" spans="2:2">
      <c r="B14263" s="3"/>
    </row>
    <row r="14264" spans="2:2">
      <c r="B14264" s="3"/>
    </row>
    <row r="14265" spans="2:2">
      <c r="B14265" s="3"/>
    </row>
    <row r="14266" spans="2:2">
      <c r="B14266" s="3"/>
    </row>
    <row r="14267" spans="2:2">
      <c r="B14267" s="3"/>
    </row>
    <row r="14268" spans="2:2">
      <c r="B14268" s="3"/>
    </row>
    <row r="14269" spans="2:2">
      <c r="B14269" s="3"/>
    </row>
    <row r="14270" spans="2:2">
      <c r="B14270" s="3"/>
    </row>
    <row r="14271" spans="2:2">
      <c r="B14271" s="3"/>
    </row>
    <row r="14272" spans="2:2">
      <c r="B14272" s="3"/>
    </row>
    <row r="14273" spans="2:2">
      <c r="B14273" s="3"/>
    </row>
    <row r="14274" spans="2:2">
      <c r="B14274" s="3"/>
    </row>
    <row r="14275" spans="2:2">
      <c r="B14275" s="3"/>
    </row>
    <row r="14276" spans="2:2">
      <c r="B14276" s="3"/>
    </row>
    <row r="14277" spans="2:2">
      <c r="B14277" s="3"/>
    </row>
    <row r="14278" spans="2:2">
      <c r="B14278" s="3"/>
    </row>
    <row r="14279" spans="2:2">
      <c r="B14279" s="3"/>
    </row>
    <row r="14280" spans="2:2">
      <c r="B14280" s="3"/>
    </row>
    <row r="14281" spans="2:2">
      <c r="B14281" s="3"/>
    </row>
    <row r="14282" spans="2:2">
      <c r="B14282" s="3"/>
    </row>
    <row r="14283" spans="2:2">
      <c r="B14283" s="3"/>
    </row>
    <row r="14284" spans="2:2">
      <c r="B14284" s="3"/>
    </row>
    <row r="14285" spans="2:2">
      <c r="B14285" s="3"/>
    </row>
    <row r="14286" spans="2:2">
      <c r="B14286" s="3"/>
    </row>
    <row r="14287" spans="2:2">
      <c r="B14287" s="3"/>
    </row>
    <row r="14288" spans="2:2">
      <c r="B14288" s="3"/>
    </row>
    <row r="14289" spans="2:2">
      <c r="B14289" s="3"/>
    </row>
    <row r="14290" spans="2:2">
      <c r="B14290" s="3"/>
    </row>
    <row r="14291" spans="2:2">
      <c r="B14291" s="3"/>
    </row>
    <row r="14292" spans="2:2">
      <c r="B14292" s="3"/>
    </row>
    <row r="14293" spans="2:2">
      <c r="B14293" s="3"/>
    </row>
    <row r="14294" spans="2:2">
      <c r="B14294" s="3"/>
    </row>
    <row r="14295" spans="2:2">
      <c r="B14295" s="3"/>
    </row>
    <row r="14296" spans="2:2">
      <c r="B14296" s="3"/>
    </row>
    <row r="14297" spans="2:2">
      <c r="B14297" s="3"/>
    </row>
    <row r="14298" spans="2:2">
      <c r="B14298" s="3"/>
    </row>
    <row r="14299" spans="2:2">
      <c r="B14299" s="3"/>
    </row>
    <row r="14300" spans="2:2">
      <c r="B14300" s="3"/>
    </row>
    <row r="14301" spans="2:2">
      <c r="B14301" s="3"/>
    </row>
    <row r="14302" spans="2:2">
      <c r="B14302" s="3"/>
    </row>
    <row r="14303" spans="2:2">
      <c r="B14303" s="3"/>
    </row>
    <row r="14304" spans="2:2">
      <c r="B14304" s="3"/>
    </row>
    <row r="14305" spans="2:2">
      <c r="B14305" s="3"/>
    </row>
    <row r="14306" spans="2:2">
      <c r="B14306" s="3"/>
    </row>
    <row r="14307" spans="2:2">
      <c r="B14307" s="3"/>
    </row>
    <row r="14308" spans="2:2">
      <c r="B14308" s="3"/>
    </row>
    <row r="14309" spans="2:2">
      <c r="B14309" s="3"/>
    </row>
    <row r="14310" spans="2:2">
      <c r="B14310" s="3"/>
    </row>
    <row r="14311" spans="2:2">
      <c r="B14311" s="3"/>
    </row>
    <row r="14312" spans="2:2">
      <c r="B14312" s="3"/>
    </row>
    <row r="14313" spans="2:2">
      <c r="B14313" s="3"/>
    </row>
    <row r="14314" spans="2:2">
      <c r="B14314" s="3"/>
    </row>
    <row r="14315" spans="2:2">
      <c r="B14315" s="3"/>
    </row>
    <row r="14316" spans="2:2">
      <c r="B14316" s="3"/>
    </row>
    <row r="14317" spans="2:2">
      <c r="B14317" s="3"/>
    </row>
    <row r="14318" spans="2:2">
      <c r="B14318" s="3"/>
    </row>
    <row r="14319" spans="2:2">
      <c r="B14319" s="3"/>
    </row>
    <row r="14320" spans="2:2">
      <c r="B14320" s="3"/>
    </row>
    <row r="14321" spans="2:2">
      <c r="B14321" s="3"/>
    </row>
    <row r="14322" spans="2:2">
      <c r="B14322" s="3"/>
    </row>
    <row r="14323" spans="2:2">
      <c r="B14323" s="3"/>
    </row>
    <row r="14324" spans="2:2">
      <c r="B14324" s="3"/>
    </row>
    <row r="14325" spans="2:2">
      <c r="B14325" s="3"/>
    </row>
    <row r="14326" spans="2:2">
      <c r="B14326" s="3"/>
    </row>
    <row r="14327" spans="2:2">
      <c r="B14327" s="3"/>
    </row>
    <row r="14328" spans="2:2">
      <c r="B14328" s="3"/>
    </row>
    <row r="14329" spans="2:2">
      <c r="B14329" s="3"/>
    </row>
    <row r="14330" spans="2:2">
      <c r="B14330" s="3"/>
    </row>
    <row r="14331" spans="2:2">
      <c r="B14331" s="3"/>
    </row>
    <row r="14332" spans="2:2">
      <c r="B14332" s="3"/>
    </row>
    <row r="14333" spans="2:2">
      <c r="B14333" s="3"/>
    </row>
    <row r="14334" spans="2:2">
      <c r="B14334" s="3"/>
    </row>
    <row r="14335" spans="2:2">
      <c r="B14335" s="3"/>
    </row>
    <row r="14336" spans="2:2">
      <c r="B14336" s="3"/>
    </row>
    <row r="14337" spans="2:2">
      <c r="B14337" s="3"/>
    </row>
    <row r="14338" spans="2:2">
      <c r="B14338" s="3"/>
    </row>
    <row r="14339" spans="2:2">
      <c r="B14339" s="3"/>
    </row>
    <row r="14340" spans="2:2">
      <c r="B14340" s="3"/>
    </row>
    <row r="14341" spans="2:2">
      <c r="B14341" s="3"/>
    </row>
    <row r="14342" spans="2:2">
      <c r="B14342" s="3"/>
    </row>
    <row r="14343" spans="2:2">
      <c r="B14343" s="3"/>
    </row>
    <row r="14344" spans="2:2">
      <c r="B14344" s="3"/>
    </row>
    <row r="14345" spans="2:2">
      <c r="B14345" s="3"/>
    </row>
    <row r="14346" spans="2:2">
      <c r="B14346" s="3"/>
    </row>
    <row r="14347" spans="2:2">
      <c r="B14347" s="3"/>
    </row>
    <row r="14348" spans="2:2">
      <c r="B14348" s="3"/>
    </row>
    <row r="14349" spans="2:2">
      <c r="B14349" s="3"/>
    </row>
    <row r="14350" spans="2:2">
      <c r="B14350" s="3"/>
    </row>
    <row r="14351" spans="2:2">
      <c r="B14351" s="3"/>
    </row>
    <row r="14352" spans="2:2">
      <c r="B14352" s="3"/>
    </row>
    <row r="14353" spans="2:2">
      <c r="B14353" s="3"/>
    </row>
    <row r="14354" spans="2:2">
      <c r="B14354" s="3"/>
    </row>
    <row r="14355" spans="2:2">
      <c r="B14355" s="3"/>
    </row>
    <row r="14356" spans="2:2">
      <c r="B14356" s="3"/>
    </row>
    <row r="14357" spans="2:2">
      <c r="B14357" s="3"/>
    </row>
    <row r="14358" spans="2:2">
      <c r="B14358" s="3"/>
    </row>
    <row r="14359" spans="2:2">
      <c r="B14359" s="3"/>
    </row>
    <row r="14360" spans="2:2">
      <c r="B14360" s="3"/>
    </row>
    <row r="14361" spans="2:2">
      <c r="B14361" s="3"/>
    </row>
    <row r="14362" spans="2:2">
      <c r="B14362" s="3"/>
    </row>
    <row r="14363" spans="2:2">
      <c r="B14363" s="3"/>
    </row>
    <row r="14364" spans="2:2">
      <c r="B14364" s="3"/>
    </row>
    <row r="14365" spans="2:2">
      <c r="B14365" s="3"/>
    </row>
    <row r="14366" spans="2:2">
      <c r="B14366" s="3"/>
    </row>
    <row r="14367" spans="2:2">
      <c r="B14367" s="3"/>
    </row>
    <row r="14368" spans="2:2">
      <c r="B14368" s="3"/>
    </row>
    <row r="14369" spans="2:2">
      <c r="B14369" s="3"/>
    </row>
    <row r="14370" spans="2:2">
      <c r="B14370" s="3"/>
    </row>
    <row r="14371" spans="2:2">
      <c r="B14371" s="3"/>
    </row>
    <row r="14372" spans="2:2">
      <c r="B14372" s="3"/>
    </row>
    <row r="14373" spans="2:2">
      <c r="B14373" s="3"/>
    </row>
    <row r="14374" spans="2:2">
      <c r="B14374" s="3"/>
    </row>
    <row r="14375" spans="2:2">
      <c r="B14375" s="3"/>
    </row>
    <row r="14376" spans="2:2">
      <c r="B14376" s="3"/>
    </row>
    <row r="14377" spans="2:2">
      <c r="B14377" s="3"/>
    </row>
    <row r="14378" spans="2:2">
      <c r="B14378" s="3"/>
    </row>
    <row r="14379" spans="2:2">
      <c r="B14379" s="3"/>
    </row>
    <row r="14380" spans="2:2">
      <c r="B14380" s="3"/>
    </row>
    <row r="14381" spans="2:2">
      <c r="B14381" s="3"/>
    </row>
    <row r="14382" spans="2:2">
      <c r="B14382" s="3"/>
    </row>
    <row r="14383" spans="2:2">
      <c r="B14383" s="3"/>
    </row>
    <row r="14384" spans="2:2">
      <c r="B14384" s="3"/>
    </row>
    <row r="14385" spans="2:2">
      <c r="B14385" s="3"/>
    </row>
    <row r="14386" spans="2:2">
      <c r="B14386" s="3"/>
    </row>
    <row r="14387" spans="2:2">
      <c r="B14387" s="3"/>
    </row>
    <row r="14388" spans="2:2">
      <c r="B14388" s="3"/>
    </row>
    <row r="14389" spans="2:2">
      <c r="B14389" s="3"/>
    </row>
    <row r="14390" spans="2:2">
      <c r="B14390" s="3"/>
    </row>
    <row r="14391" spans="2:2">
      <c r="B14391" s="3"/>
    </row>
    <row r="14392" spans="2:2">
      <c r="B14392" s="3"/>
    </row>
    <row r="14393" spans="2:2">
      <c r="B14393" s="3"/>
    </row>
    <row r="14394" spans="2:2">
      <c r="B14394" s="3"/>
    </row>
    <row r="14395" spans="2:2">
      <c r="B14395" s="3"/>
    </row>
    <row r="14396" spans="2:2">
      <c r="B14396" s="3"/>
    </row>
    <row r="14397" spans="2:2">
      <c r="B14397" s="3"/>
    </row>
    <row r="14398" spans="2:2">
      <c r="B14398" s="3"/>
    </row>
    <row r="14399" spans="2:2">
      <c r="B14399" s="3"/>
    </row>
    <row r="14400" spans="2:2">
      <c r="B14400" s="3"/>
    </row>
    <row r="14401" spans="2:2">
      <c r="B14401" s="3"/>
    </row>
    <row r="14402" spans="2:2">
      <c r="B14402" s="3"/>
    </row>
    <row r="14403" spans="2:2">
      <c r="B14403" s="3"/>
    </row>
    <row r="14404" spans="2:2">
      <c r="B14404" s="3"/>
    </row>
    <row r="14405" spans="2:2">
      <c r="B14405" s="3"/>
    </row>
    <row r="14406" spans="2:2">
      <c r="B14406" s="3"/>
    </row>
    <row r="14407" spans="2:2">
      <c r="B14407" s="3"/>
    </row>
    <row r="14408" spans="2:2">
      <c r="B14408" s="3"/>
    </row>
    <row r="14409" spans="2:2">
      <c r="B14409" s="3"/>
    </row>
    <row r="14410" spans="2:2">
      <c r="B14410" s="3"/>
    </row>
    <row r="14411" spans="2:2">
      <c r="B14411" s="3"/>
    </row>
    <row r="14412" spans="2:2">
      <c r="B14412" s="3"/>
    </row>
    <row r="14413" spans="2:2">
      <c r="B14413" s="3"/>
    </row>
    <row r="14414" spans="2:2">
      <c r="B14414" s="3"/>
    </row>
    <row r="14415" spans="2:2">
      <c r="B14415" s="3"/>
    </row>
    <row r="14416" spans="2:2">
      <c r="B14416" s="3"/>
    </row>
    <row r="14417" spans="2:2">
      <c r="B14417" s="3"/>
    </row>
    <row r="14418" spans="2:2">
      <c r="B14418" s="3"/>
    </row>
    <row r="14419" spans="2:2">
      <c r="B14419" s="3"/>
    </row>
    <row r="14420" spans="2:2">
      <c r="B14420" s="3"/>
    </row>
    <row r="14421" spans="2:2">
      <c r="B14421" s="3"/>
    </row>
    <row r="14422" spans="2:2">
      <c r="B14422" s="3"/>
    </row>
    <row r="14423" spans="2:2">
      <c r="B14423" s="3"/>
    </row>
    <row r="14424" spans="2:2">
      <c r="B14424" s="3"/>
    </row>
    <row r="14425" spans="2:2">
      <c r="B14425" s="3"/>
    </row>
    <row r="14426" spans="2:2">
      <c r="B14426" s="3"/>
    </row>
    <row r="14427" spans="2:2">
      <c r="B14427" s="3"/>
    </row>
    <row r="14428" spans="2:2">
      <c r="B14428" s="3"/>
    </row>
    <row r="14429" spans="2:2">
      <c r="B14429" s="3"/>
    </row>
    <row r="14430" spans="2:2">
      <c r="B14430" s="3"/>
    </row>
    <row r="14431" spans="2:2">
      <c r="B14431" s="3"/>
    </row>
    <row r="14432" spans="2:2">
      <c r="B14432" s="3"/>
    </row>
    <row r="14433" spans="2:2">
      <c r="B14433" s="3"/>
    </row>
    <row r="14434" spans="2:2">
      <c r="B14434" s="3"/>
    </row>
    <row r="14435" spans="2:2">
      <c r="B14435" s="3"/>
    </row>
    <row r="14436" spans="2:2">
      <c r="B14436" s="3"/>
    </row>
    <row r="14437" spans="2:2">
      <c r="B14437" s="3"/>
    </row>
    <row r="14438" spans="2:2">
      <c r="B14438" s="3"/>
    </row>
    <row r="14439" spans="2:2">
      <c r="B14439" s="3"/>
    </row>
    <row r="14440" spans="2:2">
      <c r="B14440" s="3"/>
    </row>
    <row r="14441" spans="2:2">
      <c r="B14441" s="3"/>
    </row>
    <row r="14442" spans="2:2">
      <c r="B14442" s="3"/>
    </row>
    <row r="14443" spans="2:2">
      <c r="B14443" s="3"/>
    </row>
    <row r="14444" spans="2:2">
      <c r="B14444" s="3"/>
    </row>
    <row r="14445" spans="2:2">
      <c r="B14445" s="3"/>
    </row>
    <row r="14446" spans="2:2">
      <c r="B14446" s="3"/>
    </row>
    <row r="14447" spans="2:2">
      <c r="B14447" s="3"/>
    </row>
    <row r="14448" spans="2:2">
      <c r="B14448" s="3"/>
    </row>
    <row r="14449" spans="2:2">
      <c r="B14449" s="3"/>
    </row>
    <row r="14450" spans="2:2">
      <c r="B14450" s="3"/>
    </row>
    <row r="14451" spans="2:2">
      <c r="B14451" s="3"/>
    </row>
    <row r="14452" spans="2:2">
      <c r="B14452" s="3"/>
    </row>
    <row r="14453" spans="2:2">
      <c r="B14453" s="3"/>
    </row>
    <row r="14454" spans="2:2">
      <c r="B14454" s="3"/>
    </row>
    <row r="14455" spans="2:2">
      <c r="B14455" s="3"/>
    </row>
    <row r="14456" spans="2:2">
      <c r="B14456" s="3"/>
    </row>
    <row r="14457" spans="2:2">
      <c r="B14457" s="3"/>
    </row>
    <row r="14458" spans="2:2">
      <c r="B14458" s="3"/>
    </row>
    <row r="14459" spans="2:2">
      <c r="B14459" s="3"/>
    </row>
    <row r="14460" spans="2:2">
      <c r="B14460" s="3"/>
    </row>
    <row r="14461" spans="2:2">
      <c r="B14461" s="3"/>
    </row>
    <row r="14462" spans="2:2">
      <c r="B14462" s="3"/>
    </row>
    <row r="14463" spans="2:2">
      <c r="B14463" s="3"/>
    </row>
    <row r="14464" spans="2:2">
      <c r="B14464" s="3"/>
    </row>
    <row r="14465" spans="2:2">
      <c r="B14465" s="3"/>
    </row>
    <row r="14466" spans="2:2">
      <c r="B14466" s="3"/>
    </row>
    <row r="14467" spans="2:2">
      <c r="B14467" s="3"/>
    </row>
    <row r="14468" spans="2:2">
      <c r="B14468" s="3"/>
    </row>
    <row r="14469" spans="2:2">
      <c r="B14469" s="3"/>
    </row>
    <row r="14470" spans="2:2">
      <c r="B14470" s="3"/>
    </row>
    <row r="14471" spans="2:2">
      <c r="B14471" s="3"/>
    </row>
    <row r="14472" spans="2:2">
      <c r="B14472" s="3"/>
    </row>
    <row r="14473" spans="2:2">
      <c r="B14473" s="3"/>
    </row>
    <row r="14474" spans="2:2">
      <c r="B14474" s="3"/>
    </row>
    <row r="14475" spans="2:2">
      <c r="B14475" s="3"/>
    </row>
    <row r="14476" spans="2:2">
      <c r="B14476" s="3"/>
    </row>
    <row r="14477" spans="2:2">
      <c r="B14477" s="3"/>
    </row>
    <row r="14478" spans="2:2">
      <c r="B14478" s="3"/>
    </row>
    <row r="14479" spans="2:2">
      <c r="B14479" s="3"/>
    </row>
    <row r="14480" spans="2:2">
      <c r="B14480" s="3"/>
    </row>
    <row r="14481" spans="2:2">
      <c r="B14481" s="3"/>
    </row>
    <row r="14482" spans="2:2">
      <c r="B14482" s="3"/>
    </row>
    <row r="14483" spans="2:2">
      <c r="B14483" s="3"/>
    </row>
    <row r="14484" spans="2:2">
      <c r="B14484" s="3"/>
    </row>
    <row r="14485" spans="2:2">
      <c r="B14485" s="3"/>
    </row>
    <row r="14486" spans="2:2">
      <c r="B14486" s="3"/>
    </row>
    <row r="14487" spans="2:2">
      <c r="B14487" s="3"/>
    </row>
    <row r="14488" spans="2:2">
      <c r="B14488" s="3"/>
    </row>
    <row r="14489" spans="2:2">
      <c r="B14489" s="3"/>
    </row>
    <row r="14490" spans="2:2">
      <c r="B14490" s="3"/>
    </row>
    <row r="14491" spans="2:2">
      <c r="B14491" s="3"/>
    </row>
    <row r="14492" spans="2:2">
      <c r="B14492" s="3"/>
    </row>
    <row r="14493" spans="2:2">
      <c r="B14493" s="3"/>
    </row>
    <row r="14494" spans="2:2">
      <c r="B14494" s="3"/>
    </row>
    <row r="14495" spans="2:2">
      <c r="B14495" s="3"/>
    </row>
    <row r="14496" spans="2:2">
      <c r="B14496" s="3"/>
    </row>
    <row r="14497" spans="2:2">
      <c r="B14497" s="3"/>
    </row>
    <row r="14498" spans="2:2">
      <c r="B14498" s="3"/>
    </row>
    <row r="14499" spans="2:2">
      <c r="B14499" s="3"/>
    </row>
    <row r="14500" spans="2:2">
      <c r="B14500" s="3"/>
    </row>
    <row r="14501" spans="2:2">
      <c r="B14501" s="3"/>
    </row>
    <row r="14502" spans="2:2">
      <c r="B14502" s="3"/>
    </row>
    <row r="14503" spans="2:2">
      <c r="B14503" s="3"/>
    </row>
    <row r="14504" spans="2:2">
      <c r="B14504" s="3"/>
    </row>
    <row r="14505" spans="2:2">
      <c r="B14505" s="3"/>
    </row>
    <row r="14506" spans="2:2">
      <c r="B14506" s="3"/>
    </row>
    <row r="14507" spans="2:2">
      <c r="B14507" s="3"/>
    </row>
    <row r="14508" spans="2:2">
      <c r="B14508" s="3"/>
    </row>
    <row r="14509" spans="2:2">
      <c r="B14509" s="3"/>
    </row>
    <row r="14510" spans="2:2">
      <c r="B14510" s="3"/>
    </row>
    <row r="14511" spans="2:2">
      <c r="B14511" s="3"/>
    </row>
    <row r="14512" spans="2:2">
      <c r="B14512" s="3"/>
    </row>
    <row r="14513" spans="2:2">
      <c r="B14513" s="3"/>
    </row>
    <row r="14514" spans="2:2">
      <c r="B14514" s="3"/>
    </row>
    <row r="14515" spans="2:2">
      <c r="B14515" s="3"/>
    </row>
    <row r="14516" spans="2:2">
      <c r="B14516" s="3"/>
    </row>
    <row r="14517" spans="2:2">
      <c r="B14517" s="3"/>
    </row>
    <row r="14518" spans="2:2">
      <c r="B14518" s="3"/>
    </row>
    <row r="14519" spans="2:2">
      <c r="B14519" s="3"/>
    </row>
    <row r="14520" spans="2:2">
      <c r="B14520" s="3"/>
    </row>
    <row r="14521" spans="2:2">
      <c r="B14521" s="3"/>
    </row>
    <row r="14522" spans="2:2">
      <c r="B14522" s="3"/>
    </row>
    <row r="14523" spans="2:2">
      <c r="B14523" s="3"/>
    </row>
    <row r="14524" spans="2:2">
      <c r="B14524" s="3"/>
    </row>
    <row r="14525" spans="2:2">
      <c r="B14525" s="3"/>
    </row>
    <row r="14526" spans="2:2">
      <c r="B14526" s="3"/>
    </row>
    <row r="14527" spans="2:2">
      <c r="B14527" s="3"/>
    </row>
    <row r="14528" spans="2:2">
      <c r="B14528" s="3"/>
    </row>
    <row r="14529" spans="2:2">
      <c r="B14529" s="3"/>
    </row>
    <row r="14530" spans="2:2">
      <c r="B14530" s="3"/>
    </row>
    <row r="14531" spans="2:2">
      <c r="B14531" s="3"/>
    </row>
    <row r="14532" spans="2:2">
      <c r="B14532" s="3"/>
    </row>
    <row r="14533" spans="2:2">
      <c r="B14533" s="3"/>
    </row>
    <row r="14534" spans="2:2">
      <c r="B14534" s="3"/>
    </row>
    <row r="14535" spans="2:2">
      <c r="B14535" s="3"/>
    </row>
    <row r="14536" spans="2:2">
      <c r="B14536" s="3"/>
    </row>
    <row r="14537" spans="2:2">
      <c r="B14537" s="3"/>
    </row>
    <row r="14538" spans="2:2">
      <c r="B14538" s="3"/>
    </row>
    <row r="14539" spans="2:2">
      <c r="B14539" s="3"/>
    </row>
    <row r="14540" spans="2:2">
      <c r="B14540" s="3"/>
    </row>
    <row r="14541" spans="2:2">
      <c r="B14541" s="3"/>
    </row>
    <row r="14542" spans="2:2">
      <c r="B14542" s="3"/>
    </row>
    <row r="14543" spans="2:2">
      <c r="B14543" s="3"/>
    </row>
    <row r="14544" spans="2:2">
      <c r="B14544" s="3"/>
    </row>
    <row r="14545" spans="2:2">
      <c r="B14545" s="3"/>
    </row>
    <row r="14546" spans="2:2">
      <c r="B14546" s="3"/>
    </row>
    <row r="14547" spans="2:2">
      <c r="B14547" s="3"/>
    </row>
    <row r="14548" spans="2:2">
      <c r="B14548" s="3"/>
    </row>
    <row r="14549" spans="2:2">
      <c r="B14549" s="3"/>
    </row>
    <row r="14550" spans="2:2">
      <c r="B14550" s="3"/>
    </row>
    <row r="14551" spans="2:2">
      <c r="B14551" s="3"/>
    </row>
    <row r="14552" spans="2:2">
      <c r="B14552" s="3"/>
    </row>
    <row r="14553" spans="2:2">
      <c r="B14553" s="3"/>
    </row>
    <row r="14554" spans="2:2">
      <c r="B14554" s="3"/>
    </row>
    <row r="14555" spans="2:2">
      <c r="B14555" s="3"/>
    </row>
    <row r="14556" spans="2:2">
      <c r="B14556" s="3"/>
    </row>
    <row r="14557" spans="2:2">
      <c r="B14557" s="3"/>
    </row>
    <row r="14558" spans="2:2">
      <c r="B14558" s="3"/>
    </row>
    <row r="14559" spans="2:2">
      <c r="B14559" s="3"/>
    </row>
    <row r="14560" spans="2:2">
      <c r="B14560" s="3"/>
    </row>
    <row r="14561" spans="2:2">
      <c r="B14561" s="3"/>
    </row>
    <row r="14562" spans="2:2">
      <c r="B14562" s="3"/>
    </row>
    <row r="14563" spans="2:2">
      <c r="B14563" s="3"/>
    </row>
    <row r="14564" spans="2:2">
      <c r="B14564" s="3"/>
    </row>
    <row r="14565" spans="2:2">
      <c r="B14565" s="3"/>
    </row>
    <row r="14566" spans="2:2">
      <c r="B14566" s="3"/>
    </row>
    <row r="14567" spans="2:2">
      <c r="B14567" s="3"/>
    </row>
    <row r="14568" spans="2:2">
      <c r="B14568" s="3"/>
    </row>
    <row r="14569" spans="2:2">
      <c r="B14569" s="3"/>
    </row>
    <row r="14570" spans="2:2">
      <c r="B14570" s="3"/>
    </row>
    <row r="14571" spans="2:2">
      <c r="B14571" s="3"/>
    </row>
    <row r="14572" spans="2:2">
      <c r="B14572" s="3"/>
    </row>
    <row r="14573" spans="2:2">
      <c r="B14573" s="3"/>
    </row>
    <row r="14574" spans="2:2">
      <c r="B14574" s="3"/>
    </row>
    <row r="14575" spans="2:2">
      <c r="B14575" s="3"/>
    </row>
    <row r="14576" spans="2:2">
      <c r="B14576" s="3"/>
    </row>
    <row r="14577" spans="2:2">
      <c r="B14577" s="3"/>
    </row>
    <row r="14578" spans="2:2">
      <c r="B14578" s="3"/>
    </row>
    <row r="14579" spans="2:2">
      <c r="B14579" s="3"/>
    </row>
    <row r="14580" spans="2:2">
      <c r="B14580" s="3"/>
    </row>
    <row r="14581" spans="2:2">
      <c r="B14581" s="3"/>
    </row>
    <row r="14582" spans="2:2">
      <c r="B14582" s="3"/>
    </row>
    <row r="14583" spans="2:2">
      <c r="B14583" s="3"/>
    </row>
    <row r="14584" spans="2:2">
      <c r="B14584" s="3"/>
    </row>
    <row r="14585" spans="2:2">
      <c r="B14585" s="3"/>
    </row>
    <row r="14586" spans="2:2">
      <c r="B14586" s="3"/>
    </row>
    <row r="14587" spans="2:2">
      <c r="B14587" s="3"/>
    </row>
    <row r="14588" spans="2:2">
      <c r="B14588" s="3"/>
    </row>
    <row r="14589" spans="2:2">
      <c r="B14589" s="3"/>
    </row>
    <row r="14590" spans="2:2">
      <c r="B14590" s="3"/>
    </row>
    <row r="14591" spans="2:2">
      <c r="B14591" s="3"/>
    </row>
    <row r="14592" spans="2:2">
      <c r="B14592" s="3"/>
    </row>
    <row r="14593" spans="2:2">
      <c r="B14593" s="3"/>
    </row>
    <row r="14594" spans="2:2">
      <c r="B14594" s="3"/>
    </row>
    <row r="14595" spans="2:2">
      <c r="B14595" s="3"/>
    </row>
    <row r="14596" spans="2:2">
      <c r="B14596" s="3"/>
    </row>
    <row r="14597" spans="2:2">
      <c r="B14597" s="3"/>
    </row>
    <row r="14598" spans="2:2">
      <c r="B14598" s="3"/>
    </row>
    <row r="14599" spans="2:2">
      <c r="B14599" s="3"/>
    </row>
    <row r="14600" spans="2:2">
      <c r="B14600" s="3"/>
    </row>
    <row r="14601" spans="2:2">
      <c r="B14601" s="3"/>
    </row>
    <row r="14602" spans="2:2">
      <c r="B14602" s="3"/>
    </row>
    <row r="14603" spans="2:2">
      <c r="B14603" s="3"/>
    </row>
    <row r="14604" spans="2:2">
      <c r="B14604" s="3"/>
    </row>
    <row r="14605" spans="2:2">
      <c r="B14605" s="3"/>
    </row>
    <row r="14606" spans="2:2">
      <c r="B14606" s="3"/>
    </row>
    <row r="14607" spans="2:2">
      <c r="B14607" s="3"/>
    </row>
    <row r="14608" spans="2:2">
      <c r="B14608" s="3"/>
    </row>
    <row r="14609" spans="2:2">
      <c r="B14609" s="3"/>
    </row>
    <row r="14610" spans="2:2">
      <c r="B14610" s="3"/>
    </row>
    <row r="14611" spans="2:2">
      <c r="B14611" s="3"/>
    </row>
    <row r="14612" spans="2:2">
      <c r="B14612" s="3"/>
    </row>
    <row r="14613" spans="2:2">
      <c r="B14613" s="3"/>
    </row>
    <row r="14614" spans="2:2">
      <c r="B14614" s="3"/>
    </row>
    <row r="14615" spans="2:2">
      <c r="B14615" s="3"/>
    </row>
    <row r="14616" spans="2:2">
      <c r="B14616" s="3"/>
    </row>
    <row r="14617" spans="2:2">
      <c r="B14617" s="3"/>
    </row>
    <row r="14618" spans="2:2">
      <c r="B14618" s="3"/>
    </row>
    <row r="14619" spans="2:2">
      <c r="B14619" s="3"/>
    </row>
    <row r="14620" spans="2:2">
      <c r="B14620" s="3"/>
    </row>
    <row r="14621" spans="2:2">
      <c r="B14621" s="3"/>
    </row>
    <row r="14622" spans="2:2">
      <c r="B14622" s="3"/>
    </row>
    <row r="14623" spans="2:2">
      <c r="B14623" s="3"/>
    </row>
    <row r="14624" spans="2:2">
      <c r="B14624" s="3"/>
    </row>
    <row r="14625" spans="2:2">
      <c r="B14625" s="3"/>
    </row>
    <row r="14626" spans="2:2">
      <c r="B14626" s="3"/>
    </row>
    <row r="14627" spans="2:2">
      <c r="B14627" s="3"/>
    </row>
    <row r="14628" spans="2:2">
      <c r="B14628" s="3"/>
    </row>
    <row r="14629" spans="2:2">
      <c r="B14629" s="3"/>
    </row>
    <row r="14630" spans="2:2">
      <c r="B14630" s="3"/>
    </row>
    <row r="14631" spans="2:2">
      <c r="B14631" s="3"/>
    </row>
    <row r="14632" spans="2:2">
      <c r="B14632" s="3"/>
    </row>
    <row r="14633" spans="2:2">
      <c r="B14633" s="3"/>
    </row>
    <row r="14634" spans="2:2">
      <c r="B14634" s="3"/>
    </row>
    <row r="14635" spans="2:2">
      <c r="B14635" s="3"/>
    </row>
    <row r="14636" spans="2:2">
      <c r="B14636" s="3"/>
    </row>
    <row r="14637" spans="2:2">
      <c r="B14637" s="3"/>
    </row>
    <row r="14638" spans="2:2">
      <c r="B14638" s="3"/>
    </row>
    <row r="14639" spans="2:2">
      <c r="B14639" s="3"/>
    </row>
    <row r="14640" spans="2:2">
      <c r="B14640" s="3"/>
    </row>
    <row r="14641" spans="2:2">
      <c r="B14641" s="3"/>
    </row>
    <row r="14642" spans="2:2">
      <c r="B14642" s="3"/>
    </row>
    <row r="14643" spans="2:2">
      <c r="B14643" s="3"/>
    </row>
    <row r="14644" spans="2:2">
      <c r="B14644" s="3"/>
    </row>
    <row r="14645" spans="2:2">
      <c r="B14645" s="3"/>
    </row>
    <row r="14646" spans="2:2">
      <c r="B14646" s="3"/>
    </row>
    <row r="14647" spans="2:2">
      <c r="B14647" s="3"/>
    </row>
    <row r="14648" spans="2:2">
      <c r="B14648" s="3"/>
    </row>
    <row r="14649" spans="2:2">
      <c r="B14649" s="3"/>
    </row>
    <row r="14650" spans="2:2">
      <c r="B14650" s="3"/>
    </row>
    <row r="14651" spans="2:2">
      <c r="B14651" s="3"/>
    </row>
    <row r="14652" spans="2:2">
      <c r="B14652" s="3"/>
    </row>
    <row r="14653" spans="2:2">
      <c r="B14653" s="3"/>
    </row>
    <row r="14654" spans="2:2">
      <c r="B14654" s="3"/>
    </row>
    <row r="14655" spans="2:2">
      <c r="B14655" s="3"/>
    </row>
    <row r="14656" spans="2:2">
      <c r="B14656" s="3"/>
    </row>
    <row r="14657" spans="2:2">
      <c r="B14657" s="3"/>
    </row>
    <row r="14658" spans="2:2">
      <c r="B14658" s="3"/>
    </row>
    <row r="14659" spans="2:2">
      <c r="B14659" s="3"/>
    </row>
    <row r="14660" spans="2:2">
      <c r="B14660" s="3"/>
    </row>
    <row r="14661" spans="2:2">
      <c r="B14661" s="3"/>
    </row>
    <row r="14662" spans="2:2">
      <c r="B14662" s="3"/>
    </row>
    <row r="14663" spans="2:2">
      <c r="B14663" s="3"/>
    </row>
    <row r="14664" spans="2:2">
      <c r="B14664" s="3"/>
    </row>
    <row r="14665" spans="2:2">
      <c r="B14665" s="3"/>
    </row>
    <row r="14666" spans="2:2">
      <c r="B14666" s="3"/>
    </row>
    <row r="14667" spans="2:2">
      <c r="B14667" s="3"/>
    </row>
    <row r="14668" spans="2:2">
      <c r="B14668" s="3"/>
    </row>
    <row r="14669" spans="2:2">
      <c r="B14669" s="3"/>
    </row>
    <row r="14670" spans="2:2">
      <c r="B14670" s="3"/>
    </row>
    <row r="14671" spans="2:2">
      <c r="B14671" s="3"/>
    </row>
    <row r="14672" spans="2:2">
      <c r="B14672" s="3"/>
    </row>
    <row r="14673" spans="2:2">
      <c r="B14673" s="3"/>
    </row>
    <row r="14674" spans="2:2">
      <c r="B14674" s="3"/>
    </row>
    <row r="14675" spans="2:2">
      <c r="B14675" s="3"/>
    </row>
    <row r="14676" spans="2:2">
      <c r="B14676" s="3"/>
    </row>
    <row r="14677" spans="2:2">
      <c r="B14677" s="3"/>
    </row>
    <row r="14678" spans="2:2">
      <c r="B14678" s="3"/>
    </row>
    <row r="14679" spans="2:2">
      <c r="B14679" s="3"/>
    </row>
    <row r="14680" spans="2:2">
      <c r="B14680" s="3"/>
    </row>
    <row r="14681" spans="2:2">
      <c r="B14681" s="3"/>
    </row>
    <row r="14682" spans="2:2">
      <c r="B14682" s="3"/>
    </row>
    <row r="14683" spans="2:2">
      <c r="B14683" s="3"/>
    </row>
    <row r="14684" spans="2:2">
      <c r="B14684" s="3"/>
    </row>
    <row r="14685" spans="2:2">
      <c r="B14685" s="3"/>
    </row>
    <row r="14686" spans="2:2">
      <c r="B14686" s="3"/>
    </row>
    <row r="14687" spans="2:2">
      <c r="B14687" s="3"/>
    </row>
    <row r="14688" spans="2:2">
      <c r="B14688" s="3"/>
    </row>
    <row r="14689" spans="2:2">
      <c r="B14689" s="3"/>
    </row>
    <row r="14690" spans="2:2">
      <c r="B14690" s="3"/>
    </row>
    <row r="14691" spans="2:2">
      <c r="B14691" s="3"/>
    </row>
    <row r="14692" spans="2:2">
      <c r="B14692" s="3"/>
    </row>
    <row r="14693" spans="2:2">
      <c r="B14693" s="3"/>
    </row>
    <row r="14694" spans="2:2">
      <c r="B14694" s="3"/>
    </row>
    <row r="14695" spans="2:2">
      <c r="B14695" s="3"/>
    </row>
    <row r="14696" spans="2:2">
      <c r="B14696" s="3"/>
    </row>
    <row r="14697" spans="2:2">
      <c r="B14697" s="3"/>
    </row>
    <row r="14698" spans="2:2">
      <c r="B14698" s="3"/>
    </row>
    <row r="14699" spans="2:2">
      <c r="B14699" s="3"/>
    </row>
    <row r="14700" spans="2:2">
      <c r="B14700" s="3"/>
    </row>
    <row r="14701" spans="2:2">
      <c r="B14701" s="3"/>
    </row>
    <row r="14702" spans="2:2">
      <c r="B14702" s="3"/>
    </row>
    <row r="14703" spans="2:2">
      <c r="B14703" s="3"/>
    </row>
    <row r="14704" spans="2:2">
      <c r="B14704" s="3"/>
    </row>
    <row r="14705" spans="2:2">
      <c r="B14705" s="3"/>
    </row>
    <row r="14706" spans="2:2">
      <c r="B14706" s="3"/>
    </row>
    <row r="14707" spans="2:2">
      <c r="B14707" s="3"/>
    </row>
    <row r="14708" spans="2:2">
      <c r="B14708" s="3"/>
    </row>
    <row r="14709" spans="2:2">
      <c r="B14709" s="3"/>
    </row>
    <row r="14710" spans="2:2">
      <c r="B14710" s="3"/>
    </row>
    <row r="14711" spans="2:2">
      <c r="B14711" s="3"/>
    </row>
    <row r="14712" spans="2:2">
      <c r="B14712" s="3"/>
    </row>
    <row r="14713" spans="2:2">
      <c r="B14713" s="3"/>
    </row>
    <row r="14714" spans="2:2">
      <c r="B14714" s="3"/>
    </row>
    <row r="14715" spans="2:2">
      <c r="B14715" s="3"/>
    </row>
    <row r="14716" spans="2:2">
      <c r="B14716" s="3"/>
    </row>
    <row r="14717" spans="2:2">
      <c r="B14717" s="3"/>
    </row>
    <row r="14718" spans="2:2">
      <c r="B14718" s="3"/>
    </row>
    <row r="14719" spans="2:2">
      <c r="B14719" s="3"/>
    </row>
    <row r="14720" spans="2:2">
      <c r="B14720" s="3"/>
    </row>
    <row r="14721" spans="2:2">
      <c r="B14721" s="3"/>
    </row>
    <row r="14722" spans="2:2">
      <c r="B14722" s="3"/>
    </row>
    <row r="14723" spans="2:2">
      <c r="B14723" s="3"/>
    </row>
    <row r="14724" spans="2:2">
      <c r="B14724" s="3"/>
    </row>
    <row r="14725" spans="2:2">
      <c r="B14725" s="3"/>
    </row>
    <row r="14726" spans="2:2">
      <c r="B14726" s="3"/>
    </row>
    <row r="14727" spans="2:2">
      <c r="B14727" s="3"/>
    </row>
    <row r="14728" spans="2:2">
      <c r="B14728" s="3"/>
    </row>
    <row r="14729" spans="2:2">
      <c r="B14729" s="3"/>
    </row>
    <row r="14730" spans="2:2">
      <c r="B14730" s="3"/>
    </row>
    <row r="14731" spans="2:2">
      <c r="B14731" s="3"/>
    </row>
    <row r="14732" spans="2:2">
      <c r="B14732" s="3"/>
    </row>
    <row r="14733" spans="2:2">
      <c r="B14733" s="3"/>
    </row>
    <row r="14734" spans="2:2">
      <c r="B14734" s="3"/>
    </row>
    <row r="14735" spans="2:2">
      <c r="B14735" s="3"/>
    </row>
    <row r="14736" spans="2:2">
      <c r="B14736" s="3"/>
    </row>
    <row r="14737" spans="2:2">
      <c r="B14737" s="3"/>
    </row>
    <row r="14738" spans="2:2">
      <c r="B14738" s="3"/>
    </row>
    <row r="14739" spans="2:2">
      <c r="B14739" s="3"/>
    </row>
    <row r="14740" spans="2:2">
      <c r="B14740" s="3"/>
    </row>
    <row r="14741" spans="2:2">
      <c r="B14741" s="3"/>
    </row>
    <row r="14742" spans="2:2">
      <c r="B14742" s="3"/>
    </row>
    <row r="14743" spans="2:2">
      <c r="B14743" s="3"/>
    </row>
    <row r="14744" spans="2:2">
      <c r="B14744" s="3"/>
    </row>
    <row r="14745" spans="2:2">
      <c r="B14745" s="3"/>
    </row>
    <row r="14746" spans="2:2">
      <c r="B14746" s="3"/>
    </row>
    <row r="14747" spans="2:2">
      <c r="B14747" s="3"/>
    </row>
    <row r="14748" spans="2:2">
      <c r="B14748" s="3"/>
    </row>
    <row r="14749" spans="2:2">
      <c r="B14749" s="3"/>
    </row>
    <row r="14750" spans="2:2">
      <c r="B14750" s="3"/>
    </row>
    <row r="14751" spans="2:2">
      <c r="B14751" s="3"/>
    </row>
    <row r="14752" spans="2:2">
      <c r="B14752" s="3"/>
    </row>
    <row r="14753" spans="2:2">
      <c r="B14753" s="3"/>
    </row>
    <row r="14754" spans="2:2">
      <c r="B14754" s="3"/>
    </row>
    <row r="14755" spans="2:2">
      <c r="B14755" s="3"/>
    </row>
    <row r="14756" spans="2:2">
      <c r="B14756" s="3"/>
    </row>
    <row r="14757" spans="2:2">
      <c r="B14757" s="3"/>
    </row>
    <row r="14758" spans="2:2">
      <c r="B14758" s="3"/>
    </row>
    <row r="14759" spans="2:2">
      <c r="B14759" s="3"/>
    </row>
    <row r="14760" spans="2:2">
      <c r="B14760" s="3"/>
    </row>
    <row r="14761" spans="2:2">
      <c r="B14761" s="3"/>
    </row>
    <row r="14762" spans="2:2">
      <c r="B14762" s="3"/>
    </row>
    <row r="14763" spans="2:2">
      <c r="B14763" s="3"/>
    </row>
    <row r="14764" spans="2:2">
      <c r="B14764" s="3"/>
    </row>
    <row r="14765" spans="2:2">
      <c r="B14765" s="3"/>
    </row>
    <row r="14766" spans="2:2">
      <c r="B14766" s="3"/>
    </row>
    <row r="14767" spans="2:2">
      <c r="B14767" s="3"/>
    </row>
    <row r="14768" spans="2:2">
      <c r="B14768" s="3"/>
    </row>
    <row r="14769" spans="2:2">
      <c r="B14769" s="3"/>
    </row>
    <row r="14770" spans="2:2">
      <c r="B14770" s="3"/>
    </row>
    <row r="14771" spans="2:2">
      <c r="B14771" s="3"/>
    </row>
    <row r="14772" spans="2:2">
      <c r="B14772" s="3"/>
    </row>
    <row r="14773" spans="2:2">
      <c r="B14773" s="3"/>
    </row>
    <row r="14774" spans="2:2">
      <c r="B14774" s="3"/>
    </row>
    <row r="14775" spans="2:2">
      <c r="B14775" s="3"/>
    </row>
    <row r="14776" spans="2:2">
      <c r="B14776" s="3"/>
    </row>
    <row r="14777" spans="2:2">
      <c r="B14777" s="3"/>
    </row>
    <row r="14778" spans="2:2">
      <c r="B14778" s="3"/>
    </row>
    <row r="14779" spans="2:2">
      <c r="B14779" s="3"/>
    </row>
    <row r="14780" spans="2:2">
      <c r="B14780" s="3"/>
    </row>
    <row r="14781" spans="2:2">
      <c r="B14781" s="3"/>
    </row>
    <row r="14782" spans="2:2">
      <c r="B14782" s="3"/>
    </row>
    <row r="14783" spans="2:2">
      <c r="B14783" s="3"/>
    </row>
    <row r="14784" spans="2:2">
      <c r="B14784" s="3"/>
    </row>
    <row r="14785" spans="2:2">
      <c r="B14785" s="3"/>
    </row>
    <row r="14786" spans="2:2">
      <c r="B14786" s="3"/>
    </row>
    <row r="14787" spans="2:2">
      <c r="B14787" s="3"/>
    </row>
    <row r="14788" spans="2:2">
      <c r="B14788" s="3"/>
    </row>
    <row r="14789" spans="2:2">
      <c r="B14789" s="3"/>
    </row>
    <row r="14790" spans="2:2">
      <c r="B14790" s="3"/>
    </row>
    <row r="14791" spans="2:2">
      <c r="B14791" s="3"/>
    </row>
    <row r="14792" spans="2:2">
      <c r="B14792" s="3"/>
    </row>
    <row r="14793" spans="2:2">
      <c r="B14793" s="3"/>
    </row>
    <row r="14794" spans="2:2">
      <c r="B14794" s="3"/>
    </row>
    <row r="14795" spans="2:2">
      <c r="B14795" s="3"/>
    </row>
    <row r="14796" spans="2:2">
      <c r="B14796" s="3"/>
    </row>
    <row r="14797" spans="2:2">
      <c r="B14797" s="3"/>
    </row>
    <row r="14798" spans="2:2">
      <c r="B14798" s="3"/>
    </row>
    <row r="14799" spans="2:2">
      <c r="B14799" s="3"/>
    </row>
    <row r="14800" spans="2:2">
      <c r="B14800" s="3"/>
    </row>
    <row r="14801" spans="2:2">
      <c r="B14801" s="3"/>
    </row>
    <row r="14802" spans="2:2">
      <c r="B14802" s="3"/>
    </row>
    <row r="14803" spans="2:2">
      <c r="B14803" s="3"/>
    </row>
    <row r="14804" spans="2:2">
      <c r="B14804" s="3"/>
    </row>
    <row r="14805" spans="2:2">
      <c r="B14805" s="3"/>
    </row>
    <row r="14806" spans="2:2">
      <c r="B14806" s="3"/>
    </row>
    <row r="14807" spans="2:2">
      <c r="B14807" s="3"/>
    </row>
    <row r="14808" spans="2:2">
      <c r="B14808" s="3"/>
    </row>
    <row r="14809" spans="2:2">
      <c r="B14809" s="3"/>
    </row>
    <row r="14810" spans="2:2">
      <c r="B14810" s="3"/>
    </row>
    <row r="14811" spans="2:2">
      <c r="B14811" s="3"/>
    </row>
    <row r="14812" spans="2:2">
      <c r="B14812" s="3"/>
    </row>
    <row r="14813" spans="2:2">
      <c r="B14813" s="3"/>
    </row>
    <row r="14814" spans="2:2">
      <c r="B14814" s="3"/>
    </row>
    <row r="14815" spans="2:2">
      <c r="B14815" s="3"/>
    </row>
    <row r="14816" spans="2:2">
      <c r="B14816" s="3"/>
    </row>
    <row r="14817" spans="2:2">
      <c r="B14817" s="3"/>
    </row>
    <row r="14818" spans="2:2">
      <c r="B14818" s="3"/>
    </row>
    <row r="14819" spans="2:2">
      <c r="B14819" s="3"/>
    </row>
    <row r="14820" spans="2:2">
      <c r="B14820" s="3"/>
    </row>
    <row r="14821" spans="2:2">
      <c r="B14821" s="3"/>
    </row>
    <row r="14822" spans="2:2">
      <c r="B14822" s="3"/>
    </row>
    <row r="14823" spans="2:2">
      <c r="B14823" s="3"/>
    </row>
    <row r="14824" spans="2:2">
      <c r="B14824" s="3"/>
    </row>
    <row r="14825" spans="2:2">
      <c r="B14825" s="3"/>
    </row>
    <row r="14826" spans="2:2">
      <c r="B14826" s="3"/>
    </row>
    <row r="14827" spans="2:2">
      <c r="B14827" s="3"/>
    </row>
    <row r="14828" spans="2:2">
      <c r="B14828" s="3"/>
    </row>
    <row r="14829" spans="2:2">
      <c r="B14829" s="3"/>
    </row>
    <row r="14830" spans="2:2">
      <c r="B14830" s="3"/>
    </row>
    <row r="14831" spans="2:2">
      <c r="B14831" s="3"/>
    </row>
    <row r="14832" spans="2:2">
      <c r="B14832" s="3"/>
    </row>
    <row r="14833" spans="2:2">
      <c r="B14833" s="3"/>
    </row>
    <row r="14834" spans="2:2">
      <c r="B14834" s="3"/>
    </row>
    <row r="14835" spans="2:2">
      <c r="B14835" s="3"/>
    </row>
    <row r="14836" spans="2:2">
      <c r="B14836" s="3"/>
    </row>
    <row r="14837" spans="2:2">
      <c r="B14837" s="3"/>
    </row>
    <row r="14838" spans="2:2">
      <c r="B14838" s="3"/>
    </row>
    <row r="14839" spans="2:2">
      <c r="B14839" s="3"/>
    </row>
    <row r="14840" spans="2:2">
      <c r="B14840" s="3"/>
    </row>
    <row r="14841" spans="2:2">
      <c r="B14841" s="3"/>
    </row>
    <row r="14842" spans="2:2">
      <c r="B14842" s="3"/>
    </row>
    <row r="14843" spans="2:2">
      <c r="B14843" s="3"/>
    </row>
    <row r="14844" spans="2:2">
      <c r="B14844" s="3"/>
    </row>
    <row r="14845" spans="2:2">
      <c r="B14845" s="3"/>
    </row>
    <row r="14846" spans="2:2">
      <c r="B14846" s="3"/>
    </row>
    <row r="14847" spans="2:2">
      <c r="B14847" s="3"/>
    </row>
    <row r="14848" spans="2:2">
      <c r="B14848" s="3"/>
    </row>
    <row r="14849" spans="2:2">
      <c r="B14849" s="3"/>
    </row>
    <row r="14850" spans="2:2">
      <c r="B14850" s="3"/>
    </row>
    <row r="14851" spans="2:2">
      <c r="B14851" s="3"/>
    </row>
    <row r="14852" spans="2:2">
      <c r="B14852" s="3"/>
    </row>
    <row r="14853" spans="2:2">
      <c r="B14853" s="3"/>
    </row>
    <row r="14854" spans="2:2">
      <c r="B14854" s="3"/>
    </row>
    <row r="14855" spans="2:2">
      <c r="B14855" s="3"/>
    </row>
    <row r="14856" spans="2:2">
      <c r="B14856" s="3"/>
    </row>
    <row r="14857" spans="2:2">
      <c r="B14857" s="3"/>
    </row>
    <row r="14858" spans="2:2">
      <c r="B14858" s="3"/>
    </row>
    <row r="14859" spans="2:2">
      <c r="B14859" s="3"/>
    </row>
    <row r="14860" spans="2:2">
      <c r="B14860" s="3"/>
    </row>
    <row r="14861" spans="2:2">
      <c r="B14861" s="3"/>
    </row>
    <row r="14862" spans="2:2">
      <c r="B14862" s="3"/>
    </row>
    <row r="14863" spans="2:2">
      <c r="B14863" s="3"/>
    </row>
    <row r="14864" spans="2:2">
      <c r="B14864" s="3"/>
    </row>
    <row r="14865" spans="2:2">
      <c r="B14865" s="3"/>
    </row>
    <row r="14866" spans="2:2">
      <c r="B14866" s="3"/>
    </row>
    <row r="14867" spans="2:2">
      <c r="B14867" s="3"/>
    </row>
    <row r="14868" spans="2:2">
      <c r="B14868" s="3"/>
    </row>
    <row r="14869" spans="2:2">
      <c r="B14869" s="3"/>
    </row>
    <row r="14870" spans="2:2">
      <c r="B14870" s="3"/>
    </row>
    <row r="14871" spans="2:2">
      <c r="B14871" s="3"/>
    </row>
    <row r="14872" spans="2:2">
      <c r="B14872" s="3"/>
    </row>
    <row r="14873" spans="2:2">
      <c r="B14873" s="3"/>
    </row>
    <row r="14874" spans="2:2">
      <c r="B14874" s="3"/>
    </row>
    <row r="14875" spans="2:2">
      <c r="B14875" s="3"/>
    </row>
    <row r="14876" spans="2:2">
      <c r="B14876" s="3"/>
    </row>
    <row r="14877" spans="2:2">
      <c r="B14877" s="3"/>
    </row>
    <row r="14878" spans="2:2">
      <c r="B14878" s="3"/>
    </row>
    <row r="14879" spans="2:2">
      <c r="B14879" s="3"/>
    </row>
    <row r="14880" spans="2:2">
      <c r="B14880" s="3"/>
    </row>
    <row r="14881" spans="2:2">
      <c r="B14881" s="3"/>
    </row>
    <row r="14882" spans="2:2">
      <c r="B14882" s="3"/>
    </row>
    <row r="14883" spans="2:2">
      <c r="B14883" s="3"/>
    </row>
    <row r="14884" spans="2:2">
      <c r="B14884" s="3"/>
    </row>
    <row r="14885" spans="2:2">
      <c r="B14885" s="3"/>
    </row>
    <row r="14886" spans="2:2">
      <c r="B14886" s="3"/>
    </row>
    <row r="14887" spans="2:2">
      <c r="B14887" s="3"/>
    </row>
    <row r="14888" spans="2:2">
      <c r="B14888" s="3"/>
    </row>
    <row r="14889" spans="2:2">
      <c r="B14889" s="3"/>
    </row>
    <row r="14890" spans="2:2">
      <c r="B14890" s="3"/>
    </row>
    <row r="14891" spans="2:2">
      <c r="B14891" s="3"/>
    </row>
    <row r="14892" spans="2:2">
      <c r="B14892" s="3"/>
    </row>
    <row r="14893" spans="2:2">
      <c r="B14893" s="3"/>
    </row>
    <row r="14894" spans="2:2">
      <c r="B14894" s="3"/>
    </row>
    <row r="14895" spans="2:2">
      <c r="B14895" s="3"/>
    </row>
    <row r="14896" spans="2:2">
      <c r="B14896" s="3"/>
    </row>
    <row r="14897" spans="2:2">
      <c r="B14897" s="3"/>
    </row>
    <row r="14898" spans="2:2">
      <c r="B14898" s="3"/>
    </row>
    <row r="14899" spans="2:2">
      <c r="B14899" s="3"/>
    </row>
    <row r="14900" spans="2:2">
      <c r="B14900" s="3"/>
    </row>
    <row r="14901" spans="2:2">
      <c r="B14901" s="3"/>
    </row>
    <row r="14902" spans="2:2">
      <c r="B14902" s="3"/>
    </row>
    <row r="14903" spans="2:2">
      <c r="B14903" s="3"/>
    </row>
    <row r="14904" spans="2:2">
      <c r="B14904" s="3"/>
    </row>
    <row r="14905" spans="2:2">
      <c r="B14905" s="3"/>
    </row>
    <row r="14906" spans="2:2">
      <c r="B14906" s="3"/>
    </row>
    <row r="14907" spans="2:2">
      <c r="B14907" s="3"/>
    </row>
    <row r="14908" spans="2:2">
      <c r="B14908" s="3"/>
    </row>
    <row r="14909" spans="2:2">
      <c r="B14909" s="3"/>
    </row>
    <row r="14910" spans="2:2">
      <c r="B14910" s="3"/>
    </row>
    <row r="14911" spans="2:2">
      <c r="B14911" s="3"/>
    </row>
    <row r="14912" spans="2:2">
      <c r="B14912" s="3"/>
    </row>
    <row r="14913" spans="2:2">
      <c r="B14913" s="3"/>
    </row>
    <row r="14914" spans="2:2">
      <c r="B14914" s="3"/>
    </row>
    <row r="14915" spans="2:2">
      <c r="B14915" s="3"/>
    </row>
    <row r="14916" spans="2:2">
      <c r="B14916" s="3"/>
    </row>
    <row r="14917" spans="2:2">
      <c r="B14917" s="3"/>
    </row>
    <row r="14918" spans="2:2">
      <c r="B14918" s="3"/>
    </row>
    <row r="14919" spans="2:2">
      <c r="B14919" s="3"/>
    </row>
    <row r="14920" spans="2:2">
      <c r="B14920" s="3"/>
    </row>
    <row r="14921" spans="2:2">
      <c r="B14921" s="3"/>
    </row>
    <row r="14922" spans="2:2">
      <c r="B14922" s="3"/>
    </row>
    <row r="14923" spans="2:2">
      <c r="B14923" s="3"/>
    </row>
    <row r="14924" spans="2:2">
      <c r="B14924" s="3"/>
    </row>
    <row r="14925" spans="2:2">
      <c r="B14925" s="3"/>
    </row>
    <row r="14926" spans="2:2">
      <c r="B14926" s="3"/>
    </row>
    <row r="14927" spans="2:2">
      <c r="B14927" s="3"/>
    </row>
    <row r="14928" spans="2:2">
      <c r="B14928" s="3"/>
    </row>
    <row r="14929" spans="2:2">
      <c r="B14929" s="3"/>
    </row>
    <row r="14930" spans="2:2">
      <c r="B14930" s="3"/>
    </row>
    <row r="14931" spans="2:2">
      <c r="B14931" s="3"/>
    </row>
    <row r="14932" spans="2:2">
      <c r="B14932" s="3"/>
    </row>
    <row r="14933" spans="2:2">
      <c r="B14933" s="3"/>
    </row>
    <row r="14934" spans="2:2">
      <c r="B14934" s="3"/>
    </row>
    <row r="14935" spans="2:2">
      <c r="B14935" s="3"/>
    </row>
    <row r="14936" spans="2:2">
      <c r="B14936" s="3"/>
    </row>
    <row r="14937" spans="2:2">
      <c r="B14937" s="3"/>
    </row>
    <row r="14938" spans="2:2">
      <c r="B14938" s="3"/>
    </row>
    <row r="14939" spans="2:2">
      <c r="B14939" s="3"/>
    </row>
    <row r="14940" spans="2:2">
      <c r="B14940" s="3"/>
    </row>
    <row r="14941" spans="2:2">
      <c r="B14941" s="3"/>
    </row>
    <row r="14942" spans="2:2">
      <c r="B14942" s="3"/>
    </row>
    <row r="14943" spans="2:2">
      <c r="B14943" s="3"/>
    </row>
    <row r="14944" spans="2:2">
      <c r="B14944" s="3"/>
    </row>
    <row r="14945" spans="2:2">
      <c r="B14945" s="3"/>
    </row>
    <row r="14946" spans="2:2">
      <c r="B14946" s="3"/>
    </row>
    <row r="14947" spans="2:2">
      <c r="B14947" s="3"/>
    </row>
    <row r="14948" spans="2:2">
      <c r="B14948" s="3"/>
    </row>
    <row r="14949" spans="2:2">
      <c r="B14949" s="3"/>
    </row>
    <row r="14950" spans="2:2">
      <c r="B14950" s="3"/>
    </row>
    <row r="14951" spans="2:2">
      <c r="B14951" s="3"/>
    </row>
    <row r="14952" spans="2:2">
      <c r="B14952" s="3"/>
    </row>
    <row r="14953" spans="2:2">
      <c r="B14953" s="3"/>
    </row>
    <row r="14954" spans="2:2">
      <c r="B14954" s="3"/>
    </row>
    <row r="14955" spans="2:2">
      <c r="B14955" s="3"/>
    </row>
    <row r="14956" spans="2:2">
      <c r="B14956" s="3"/>
    </row>
    <row r="14957" spans="2:2">
      <c r="B14957" s="3"/>
    </row>
    <row r="14958" spans="2:2">
      <c r="B14958" s="3"/>
    </row>
    <row r="14959" spans="2:2">
      <c r="B14959" s="3"/>
    </row>
    <row r="14960" spans="2:2">
      <c r="B14960" s="3"/>
    </row>
    <row r="14961" spans="2:2">
      <c r="B14961" s="3"/>
    </row>
    <row r="14962" spans="2:2">
      <c r="B14962" s="3"/>
    </row>
    <row r="14963" spans="2:2">
      <c r="B14963" s="3"/>
    </row>
    <row r="14964" spans="2:2">
      <c r="B14964" s="3"/>
    </row>
    <row r="14965" spans="2:2">
      <c r="B14965" s="3"/>
    </row>
    <row r="14966" spans="2:2">
      <c r="B14966" s="3"/>
    </row>
    <row r="14967" spans="2:2">
      <c r="B14967" s="3"/>
    </row>
    <row r="14968" spans="2:2">
      <c r="B14968" s="3"/>
    </row>
    <row r="14969" spans="2:2">
      <c r="B14969" s="3"/>
    </row>
    <row r="14970" spans="2:2">
      <c r="B14970" s="3"/>
    </row>
    <row r="14971" spans="2:2">
      <c r="B14971" s="3"/>
    </row>
    <row r="14972" spans="2:2">
      <c r="B14972" s="3"/>
    </row>
    <row r="14973" spans="2:2">
      <c r="B14973" s="3"/>
    </row>
    <row r="14974" spans="2:2">
      <c r="B14974" s="3"/>
    </row>
    <row r="14975" spans="2:2">
      <c r="B14975" s="3"/>
    </row>
    <row r="14976" spans="2:2">
      <c r="B14976" s="3"/>
    </row>
    <row r="14977" spans="2:2">
      <c r="B14977" s="3"/>
    </row>
    <row r="14978" spans="2:2">
      <c r="B14978" s="3"/>
    </row>
    <row r="14979" spans="2:2">
      <c r="B14979" s="3"/>
    </row>
    <row r="14980" spans="2:2">
      <c r="B14980" s="3"/>
    </row>
    <row r="14981" spans="2:2">
      <c r="B14981" s="3"/>
    </row>
    <row r="14982" spans="2:2">
      <c r="B14982" s="3"/>
    </row>
    <row r="14983" spans="2:2">
      <c r="B14983" s="3"/>
    </row>
    <row r="14984" spans="2:2">
      <c r="B14984" s="3"/>
    </row>
    <row r="14985" spans="2:2">
      <c r="B14985" s="3"/>
    </row>
    <row r="14986" spans="2:2">
      <c r="B14986" s="3"/>
    </row>
    <row r="14987" spans="2:2">
      <c r="B14987" s="3"/>
    </row>
    <row r="14988" spans="2:2">
      <c r="B14988" s="3"/>
    </row>
    <row r="14989" spans="2:2">
      <c r="B14989" s="3"/>
    </row>
    <row r="14990" spans="2:2">
      <c r="B14990" s="3"/>
    </row>
    <row r="14991" spans="2:2">
      <c r="B14991" s="3"/>
    </row>
    <row r="14992" spans="2:2">
      <c r="B14992" s="3"/>
    </row>
    <row r="14993" spans="2:2">
      <c r="B14993" s="3"/>
    </row>
    <row r="14994" spans="2:2">
      <c r="B14994" s="3"/>
    </row>
    <row r="14995" spans="2:2">
      <c r="B14995" s="3"/>
    </row>
    <row r="14996" spans="2:2">
      <c r="B14996" s="3"/>
    </row>
    <row r="14997" spans="2:2">
      <c r="B14997" s="3"/>
    </row>
    <row r="14998" spans="2:2">
      <c r="B14998" s="3"/>
    </row>
    <row r="14999" spans="2:2">
      <c r="B14999" s="3"/>
    </row>
    <row r="15000" spans="2:2">
      <c r="B15000" s="3"/>
    </row>
    <row r="15001" spans="2:2">
      <c r="B15001" s="3"/>
    </row>
    <row r="15002" spans="2:2">
      <c r="B15002" s="3"/>
    </row>
    <row r="15003" spans="2:2">
      <c r="B15003" s="3"/>
    </row>
    <row r="15004" spans="2:2">
      <c r="B15004" s="3"/>
    </row>
    <row r="15005" spans="2:2">
      <c r="B15005" s="3"/>
    </row>
    <row r="15006" spans="2:2">
      <c r="B15006" s="3"/>
    </row>
    <row r="15007" spans="2:2">
      <c r="B15007" s="3"/>
    </row>
    <row r="15008" spans="2:2">
      <c r="B15008" s="3"/>
    </row>
    <row r="15009" spans="2:2">
      <c r="B15009" s="3"/>
    </row>
    <row r="15010" spans="2:2">
      <c r="B15010" s="3"/>
    </row>
    <row r="15011" spans="2:2">
      <c r="B15011" s="3"/>
    </row>
    <row r="15012" spans="2:2">
      <c r="B15012" s="3"/>
    </row>
    <row r="15013" spans="2:2">
      <c r="B15013" s="3"/>
    </row>
    <row r="15014" spans="2:2">
      <c r="B15014" s="3"/>
    </row>
    <row r="15015" spans="2:2">
      <c r="B15015" s="3"/>
    </row>
    <row r="15016" spans="2:2">
      <c r="B15016" s="3"/>
    </row>
    <row r="15017" spans="2:2">
      <c r="B15017" s="3"/>
    </row>
    <row r="15018" spans="2:2">
      <c r="B15018" s="3"/>
    </row>
    <row r="15019" spans="2:2">
      <c r="B15019" s="3"/>
    </row>
    <row r="15020" spans="2:2">
      <c r="B15020" s="3"/>
    </row>
    <row r="15021" spans="2:2">
      <c r="B15021" s="3"/>
    </row>
    <row r="15022" spans="2:2">
      <c r="B15022" s="3"/>
    </row>
    <row r="15023" spans="2:2">
      <c r="B15023" s="3"/>
    </row>
    <row r="15024" spans="2:2">
      <c r="B15024" s="3"/>
    </row>
    <row r="15025" spans="2:2">
      <c r="B15025" s="3"/>
    </row>
    <row r="15026" spans="2:2">
      <c r="B15026" s="3"/>
    </row>
    <row r="15027" spans="2:2">
      <c r="B15027" s="3"/>
    </row>
    <row r="15028" spans="2:2">
      <c r="B15028" s="3"/>
    </row>
    <row r="15029" spans="2:2">
      <c r="B15029" s="3"/>
    </row>
    <row r="15030" spans="2:2">
      <c r="B15030" s="3"/>
    </row>
    <row r="15031" spans="2:2">
      <c r="B15031" s="3"/>
    </row>
    <row r="15032" spans="2:2">
      <c r="B15032" s="3"/>
    </row>
    <row r="15033" spans="2:2">
      <c r="B15033" s="3"/>
    </row>
    <row r="15034" spans="2:2">
      <c r="B15034" s="3"/>
    </row>
    <row r="15035" spans="2:2">
      <c r="B15035" s="3"/>
    </row>
    <row r="15036" spans="2:2">
      <c r="B15036" s="3"/>
    </row>
    <row r="15037" spans="2:2">
      <c r="B15037" s="3"/>
    </row>
    <row r="15038" spans="2:2">
      <c r="B15038" s="3"/>
    </row>
    <row r="15039" spans="2:2">
      <c r="B15039" s="3"/>
    </row>
    <row r="15040" spans="2:2">
      <c r="B15040" s="3"/>
    </row>
    <row r="15041" spans="2:2">
      <c r="B15041" s="3"/>
    </row>
    <row r="15042" spans="2:2">
      <c r="B15042" s="3"/>
    </row>
    <row r="15043" spans="2:2">
      <c r="B15043" s="3"/>
    </row>
    <row r="15044" spans="2:2">
      <c r="B15044" s="3"/>
    </row>
    <row r="15045" spans="2:2">
      <c r="B15045" s="3"/>
    </row>
    <row r="15046" spans="2:2">
      <c r="B15046" s="3"/>
    </row>
    <row r="15047" spans="2:2">
      <c r="B15047" s="3"/>
    </row>
    <row r="15048" spans="2:2">
      <c r="B15048" s="3"/>
    </row>
    <row r="15049" spans="2:2">
      <c r="B15049" s="3"/>
    </row>
    <row r="15050" spans="2:2">
      <c r="B15050" s="3"/>
    </row>
    <row r="15051" spans="2:2">
      <c r="B15051" s="3"/>
    </row>
    <row r="15052" spans="2:2">
      <c r="B15052" s="3"/>
    </row>
    <row r="15053" spans="2:2">
      <c r="B15053" s="3"/>
    </row>
    <row r="15054" spans="2:2">
      <c r="B15054" s="3"/>
    </row>
    <row r="15055" spans="2:2">
      <c r="B15055" s="3"/>
    </row>
    <row r="15056" spans="2:2">
      <c r="B15056" s="3"/>
    </row>
    <row r="15057" spans="2:2">
      <c r="B15057" s="3"/>
    </row>
    <row r="15058" spans="2:2">
      <c r="B15058" s="3"/>
    </row>
    <row r="15059" spans="2:2">
      <c r="B15059" s="3"/>
    </row>
    <row r="15060" spans="2:2">
      <c r="B15060" s="3"/>
    </row>
    <row r="15061" spans="2:2">
      <c r="B15061" s="3"/>
    </row>
    <row r="15062" spans="2:2">
      <c r="B15062" s="3"/>
    </row>
    <row r="15063" spans="2:2">
      <c r="B15063" s="3"/>
    </row>
    <row r="15064" spans="2:2">
      <c r="B15064" s="3"/>
    </row>
    <row r="15065" spans="2:2">
      <c r="B15065" s="3"/>
    </row>
    <row r="15066" spans="2:2">
      <c r="B15066" s="3"/>
    </row>
    <row r="15067" spans="2:2">
      <c r="B15067" s="3"/>
    </row>
    <row r="15068" spans="2:2">
      <c r="B15068" s="3"/>
    </row>
    <row r="15069" spans="2:2">
      <c r="B15069" s="3"/>
    </row>
    <row r="15070" spans="2:2">
      <c r="B15070" s="3"/>
    </row>
    <row r="15071" spans="2:2">
      <c r="B15071" s="3"/>
    </row>
    <row r="15072" spans="2:2">
      <c r="B15072" s="3"/>
    </row>
    <row r="15073" spans="2:2">
      <c r="B15073" s="3"/>
    </row>
    <row r="15074" spans="2:2">
      <c r="B15074" s="3"/>
    </row>
    <row r="15075" spans="2:2">
      <c r="B15075" s="3"/>
    </row>
    <row r="15076" spans="2:2">
      <c r="B15076" s="3"/>
    </row>
    <row r="15077" spans="2:2">
      <c r="B15077" s="3"/>
    </row>
    <row r="15078" spans="2:2">
      <c r="B15078" s="3"/>
    </row>
    <row r="15079" spans="2:2">
      <c r="B15079" s="3"/>
    </row>
    <row r="15080" spans="2:2">
      <c r="B15080" s="3"/>
    </row>
    <row r="15081" spans="2:2">
      <c r="B15081" s="3"/>
    </row>
    <row r="15082" spans="2:2">
      <c r="B15082" s="3"/>
    </row>
    <row r="15083" spans="2:2">
      <c r="B15083" s="3"/>
    </row>
    <row r="15084" spans="2:2">
      <c r="B15084" s="3"/>
    </row>
    <row r="15085" spans="2:2">
      <c r="B15085" s="3"/>
    </row>
    <row r="15086" spans="2:2">
      <c r="B15086" s="3"/>
    </row>
    <row r="15087" spans="2:2">
      <c r="B15087" s="3"/>
    </row>
    <row r="15088" spans="2:2">
      <c r="B15088" s="3"/>
    </row>
    <row r="15089" spans="2:2">
      <c r="B15089" s="3"/>
    </row>
    <row r="15090" spans="2:2">
      <c r="B15090" s="3"/>
    </row>
    <row r="15091" spans="2:2">
      <c r="B15091" s="3"/>
    </row>
    <row r="15092" spans="2:2">
      <c r="B15092" s="3"/>
    </row>
    <row r="15093" spans="2:2">
      <c r="B15093" s="3"/>
    </row>
    <row r="15094" spans="2:2">
      <c r="B15094" s="3"/>
    </row>
    <row r="15095" spans="2:2">
      <c r="B15095" s="3"/>
    </row>
    <row r="15096" spans="2:2">
      <c r="B15096" s="3"/>
    </row>
    <row r="15097" spans="2:2">
      <c r="B15097" s="3"/>
    </row>
    <row r="15098" spans="2:2">
      <c r="B15098" s="3"/>
    </row>
    <row r="15099" spans="2:2">
      <c r="B15099" s="3"/>
    </row>
    <row r="15100" spans="2:2">
      <c r="B15100" s="3"/>
    </row>
    <row r="15101" spans="2:2">
      <c r="B15101" s="3"/>
    </row>
    <row r="15102" spans="2:2">
      <c r="B15102" s="3"/>
    </row>
    <row r="15103" spans="2:2">
      <c r="B15103" s="3"/>
    </row>
    <row r="15104" spans="2:2">
      <c r="B15104" s="3"/>
    </row>
    <row r="15105" spans="2:2">
      <c r="B15105" s="3"/>
    </row>
    <row r="15106" spans="2:2">
      <c r="B15106" s="3"/>
    </row>
    <row r="15107" spans="2:2">
      <c r="B15107" s="3"/>
    </row>
    <row r="15108" spans="2:2">
      <c r="B15108" s="3"/>
    </row>
    <row r="15109" spans="2:2">
      <c r="B15109" s="3"/>
    </row>
    <row r="15110" spans="2:2">
      <c r="B15110" s="3"/>
    </row>
    <row r="15111" spans="2:2">
      <c r="B15111" s="3"/>
    </row>
    <row r="15112" spans="2:2">
      <c r="B15112" s="3"/>
    </row>
    <row r="15113" spans="2:2">
      <c r="B15113" s="3"/>
    </row>
    <row r="15114" spans="2:2">
      <c r="B15114" s="3"/>
    </row>
    <row r="15115" spans="2:2">
      <c r="B15115" s="3"/>
    </row>
    <row r="15116" spans="2:2">
      <c r="B15116" s="3"/>
    </row>
    <row r="15117" spans="2:2">
      <c r="B15117" s="3"/>
    </row>
    <row r="15118" spans="2:2">
      <c r="B15118" s="3"/>
    </row>
    <row r="15119" spans="2:2">
      <c r="B15119" s="3"/>
    </row>
    <row r="15120" spans="2:2">
      <c r="B15120" s="3"/>
    </row>
    <row r="15121" spans="2:2">
      <c r="B15121" s="3"/>
    </row>
    <row r="15122" spans="2:2">
      <c r="B15122" s="3"/>
    </row>
    <row r="15123" spans="2:2">
      <c r="B15123" s="3"/>
    </row>
    <row r="15124" spans="2:2">
      <c r="B15124" s="3"/>
    </row>
    <row r="15125" spans="2:2">
      <c r="B15125" s="3"/>
    </row>
    <row r="15126" spans="2:2">
      <c r="B15126" s="3"/>
    </row>
    <row r="15127" spans="2:2">
      <c r="B15127" s="3"/>
    </row>
    <row r="15128" spans="2:2">
      <c r="B15128" s="3"/>
    </row>
    <row r="15129" spans="2:2">
      <c r="B15129" s="3"/>
    </row>
    <row r="15130" spans="2:2">
      <c r="B15130" s="3"/>
    </row>
    <row r="15131" spans="2:2">
      <c r="B15131" s="3"/>
    </row>
    <row r="15132" spans="2:2">
      <c r="B15132" s="3"/>
    </row>
    <row r="15133" spans="2:2">
      <c r="B15133" s="3"/>
    </row>
    <row r="15134" spans="2:2">
      <c r="B15134" s="3"/>
    </row>
    <row r="15135" spans="2:2">
      <c r="B15135" s="3"/>
    </row>
    <row r="15136" spans="2:2">
      <c r="B15136" s="3"/>
    </row>
    <row r="15137" spans="2:2">
      <c r="B15137" s="3"/>
    </row>
    <row r="15138" spans="2:2">
      <c r="B15138" s="3"/>
    </row>
    <row r="15139" spans="2:2">
      <c r="B15139" s="3"/>
    </row>
    <row r="15140" spans="2:2">
      <c r="B15140" s="3"/>
    </row>
    <row r="15141" spans="2:2">
      <c r="B15141" s="3"/>
    </row>
    <row r="15142" spans="2:2">
      <c r="B15142" s="3"/>
    </row>
    <row r="15143" spans="2:2">
      <c r="B15143" s="3"/>
    </row>
    <row r="15144" spans="2:2">
      <c r="B15144" s="3"/>
    </row>
    <row r="15145" spans="2:2">
      <c r="B15145" s="3"/>
    </row>
    <row r="15146" spans="2:2">
      <c r="B15146" s="3"/>
    </row>
    <row r="15147" spans="2:2">
      <c r="B15147" s="3"/>
    </row>
    <row r="15148" spans="2:2">
      <c r="B15148" s="3"/>
    </row>
    <row r="15149" spans="2:2">
      <c r="B15149" s="3"/>
    </row>
    <row r="15150" spans="2:2">
      <c r="B15150" s="3"/>
    </row>
    <row r="15151" spans="2:2">
      <c r="B15151" s="3"/>
    </row>
    <row r="15152" spans="2:2">
      <c r="B15152" s="3"/>
    </row>
    <row r="15153" spans="2:2">
      <c r="B15153" s="3"/>
    </row>
    <row r="15154" spans="2:2">
      <c r="B15154" s="3"/>
    </row>
    <row r="15155" spans="2:2">
      <c r="B15155" s="3"/>
    </row>
    <row r="15156" spans="2:2">
      <c r="B15156" s="3"/>
    </row>
    <row r="15157" spans="2:2">
      <c r="B15157" s="3"/>
    </row>
    <row r="15158" spans="2:2">
      <c r="B15158" s="3"/>
    </row>
    <row r="15159" spans="2:2">
      <c r="B15159" s="3"/>
    </row>
    <row r="15160" spans="2:2">
      <c r="B15160" s="3"/>
    </row>
    <row r="15161" spans="2:2">
      <c r="B15161" s="3"/>
    </row>
    <row r="15162" spans="2:2">
      <c r="B15162" s="3"/>
    </row>
    <row r="15163" spans="2:2">
      <c r="B15163" s="3"/>
    </row>
    <row r="15164" spans="2:2">
      <c r="B15164" s="3"/>
    </row>
    <row r="15165" spans="2:2">
      <c r="B15165" s="3"/>
    </row>
    <row r="15166" spans="2:2">
      <c r="B15166" s="3"/>
    </row>
    <row r="15167" spans="2:2">
      <c r="B15167" s="3"/>
    </row>
    <row r="15168" spans="2:2">
      <c r="B15168" s="3"/>
    </row>
    <row r="15169" spans="2:2">
      <c r="B15169" s="3"/>
    </row>
    <row r="15170" spans="2:2">
      <c r="B15170" s="3"/>
    </row>
    <row r="15171" spans="2:2">
      <c r="B15171" s="3"/>
    </row>
    <row r="15172" spans="2:2">
      <c r="B15172" s="3"/>
    </row>
    <row r="15173" spans="2:2">
      <c r="B15173" s="3"/>
    </row>
    <row r="15174" spans="2:2">
      <c r="B15174" s="3"/>
    </row>
    <row r="15175" spans="2:2">
      <c r="B15175" s="3"/>
    </row>
    <row r="15176" spans="2:2">
      <c r="B15176" s="3"/>
    </row>
    <row r="15177" spans="2:2">
      <c r="B15177" s="3"/>
    </row>
    <row r="15178" spans="2:2">
      <c r="B15178" s="3"/>
    </row>
    <row r="15179" spans="2:2">
      <c r="B15179" s="3"/>
    </row>
    <row r="15180" spans="2:2">
      <c r="B15180" s="3"/>
    </row>
    <row r="15181" spans="2:2">
      <c r="B15181" s="3"/>
    </row>
    <row r="15182" spans="2:2">
      <c r="B15182" s="3"/>
    </row>
    <row r="15183" spans="2:2">
      <c r="B15183" s="3"/>
    </row>
    <row r="15184" spans="2:2">
      <c r="B15184" s="3"/>
    </row>
    <row r="15185" spans="2:2">
      <c r="B15185" s="3"/>
    </row>
    <row r="15186" spans="2:2">
      <c r="B15186" s="3"/>
    </row>
    <row r="15187" spans="2:2">
      <c r="B15187" s="3"/>
    </row>
    <row r="15188" spans="2:2">
      <c r="B15188" s="3"/>
    </row>
    <row r="15189" spans="2:2">
      <c r="B15189" s="3"/>
    </row>
    <row r="15190" spans="2:2">
      <c r="B15190" s="3"/>
    </row>
    <row r="15191" spans="2:2">
      <c r="B15191" s="3"/>
    </row>
    <row r="15192" spans="2:2">
      <c r="B15192" s="3"/>
    </row>
    <row r="15193" spans="2:2">
      <c r="B15193" s="3"/>
    </row>
    <row r="15194" spans="2:2">
      <c r="B15194" s="3"/>
    </row>
    <row r="15195" spans="2:2">
      <c r="B15195" s="3"/>
    </row>
    <row r="15196" spans="2:2">
      <c r="B15196" s="3"/>
    </row>
    <row r="15197" spans="2:2">
      <c r="B15197" s="3"/>
    </row>
    <row r="15198" spans="2:2">
      <c r="B15198" s="3"/>
    </row>
    <row r="15199" spans="2:2">
      <c r="B15199" s="3"/>
    </row>
    <row r="15200" spans="2:2">
      <c r="B15200" s="3"/>
    </row>
    <row r="15201" spans="2:2">
      <c r="B15201" s="3"/>
    </row>
    <row r="15202" spans="2:2">
      <c r="B15202" s="3"/>
    </row>
    <row r="15203" spans="2:2">
      <c r="B15203" s="3"/>
    </row>
    <row r="15204" spans="2:2">
      <c r="B15204" s="3"/>
    </row>
    <row r="15205" spans="2:2">
      <c r="B15205" s="3"/>
    </row>
    <row r="15206" spans="2:2">
      <c r="B15206" s="3"/>
    </row>
    <row r="15207" spans="2:2">
      <c r="B15207" s="3"/>
    </row>
    <row r="15208" spans="2:2">
      <c r="B15208" s="3"/>
    </row>
    <row r="15209" spans="2:2">
      <c r="B15209" s="3"/>
    </row>
    <row r="15210" spans="2:2">
      <c r="B15210" s="3"/>
    </row>
    <row r="15211" spans="2:2">
      <c r="B15211" s="3"/>
    </row>
    <row r="15212" spans="2:2">
      <c r="B15212" s="3"/>
    </row>
    <row r="15213" spans="2:2">
      <c r="B15213" s="3"/>
    </row>
    <row r="15214" spans="2:2">
      <c r="B15214" s="3"/>
    </row>
    <row r="15215" spans="2:2">
      <c r="B15215" s="3"/>
    </row>
    <row r="15216" spans="2:2">
      <c r="B15216" s="3"/>
    </row>
    <row r="15217" spans="2:2">
      <c r="B15217" s="3"/>
    </row>
    <row r="15218" spans="2:2">
      <c r="B15218" s="3"/>
    </row>
    <row r="15219" spans="2:2">
      <c r="B15219" s="3"/>
    </row>
    <row r="15220" spans="2:2">
      <c r="B15220" s="3"/>
    </row>
    <row r="15221" spans="2:2">
      <c r="B15221" s="3"/>
    </row>
    <row r="15222" spans="2:2">
      <c r="B15222" s="3"/>
    </row>
    <row r="15223" spans="2:2">
      <c r="B15223" s="3"/>
    </row>
    <row r="15224" spans="2:2">
      <c r="B15224" s="3"/>
    </row>
    <row r="15225" spans="2:2">
      <c r="B15225" s="3"/>
    </row>
    <row r="15226" spans="2:2">
      <c r="B15226" s="3"/>
    </row>
    <row r="15227" spans="2:2">
      <c r="B15227" s="3"/>
    </row>
    <row r="15228" spans="2:2">
      <c r="B15228" s="3"/>
    </row>
    <row r="15229" spans="2:2">
      <c r="B15229" s="3"/>
    </row>
    <row r="15230" spans="2:2">
      <c r="B15230" s="3"/>
    </row>
    <row r="15231" spans="2:2">
      <c r="B15231" s="3"/>
    </row>
    <row r="15232" spans="2:2">
      <c r="B15232" s="3"/>
    </row>
    <row r="15233" spans="2:2">
      <c r="B15233" s="3"/>
    </row>
    <row r="15234" spans="2:2">
      <c r="B15234" s="3"/>
    </row>
    <row r="15235" spans="2:2">
      <c r="B15235" s="3"/>
    </row>
    <row r="15236" spans="2:2">
      <c r="B15236" s="3"/>
    </row>
    <row r="15237" spans="2:2">
      <c r="B15237" s="3"/>
    </row>
    <row r="15238" spans="2:2">
      <c r="B15238" s="3"/>
    </row>
    <row r="15239" spans="2:2">
      <c r="B15239" s="3"/>
    </row>
    <row r="15240" spans="2:2">
      <c r="B15240" s="3"/>
    </row>
    <row r="15241" spans="2:2">
      <c r="B15241" s="3"/>
    </row>
    <row r="15242" spans="2:2">
      <c r="B15242" s="3"/>
    </row>
    <row r="15243" spans="2:2">
      <c r="B15243" s="3"/>
    </row>
    <row r="15244" spans="2:2">
      <c r="B15244" s="3"/>
    </row>
    <row r="15245" spans="2:2">
      <c r="B15245" s="3"/>
    </row>
    <row r="15246" spans="2:2">
      <c r="B15246" s="3"/>
    </row>
    <row r="15247" spans="2:2">
      <c r="B15247" s="3"/>
    </row>
    <row r="15248" spans="2:2">
      <c r="B15248" s="3"/>
    </row>
    <row r="15249" spans="2:2">
      <c r="B15249" s="3"/>
    </row>
    <row r="15250" spans="2:2">
      <c r="B15250" s="3"/>
    </row>
    <row r="15251" spans="2:2">
      <c r="B15251" s="3"/>
    </row>
    <row r="15252" spans="2:2">
      <c r="B15252" s="3"/>
    </row>
    <row r="15253" spans="2:2">
      <c r="B15253" s="3"/>
    </row>
    <row r="15254" spans="2:2">
      <c r="B15254" s="3"/>
    </row>
    <row r="15255" spans="2:2">
      <c r="B15255" s="3"/>
    </row>
    <row r="15256" spans="2:2">
      <c r="B15256" s="3"/>
    </row>
    <row r="15257" spans="2:2">
      <c r="B15257" s="3"/>
    </row>
    <row r="15258" spans="2:2">
      <c r="B15258" s="3"/>
    </row>
    <row r="15259" spans="2:2">
      <c r="B15259" s="3"/>
    </row>
    <row r="15260" spans="2:2">
      <c r="B15260" s="3"/>
    </row>
    <row r="15261" spans="2:2">
      <c r="B15261" s="3"/>
    </row>
    <row r="15262" spans="2:2">
      <c r="B15262" s="3"/>
    </row>
    <row r="15263" spans="2:2">
      <c r="B15263" s="3"/>
    </row>
    <row r="15264" spans="2:2">
      <c r="B15264" s="3"/>
    </row>
    <row r="15265" spans="2:2">
      <c r="B15265" s="3"/>
    </row>
    <row r="15266" spans="2:2">
      <c r="B15266" s="3"/>
    </row>
    <row r="15267" spans="2:2">
      <c r="B15267" s="3"/>
    </row>
    <row r="15268" spans="2:2">
      <c r="B15268" s="3"/>
    </row>
    <row r="15269" spans="2:2">
      <c r="B15269" s="3"/>
    </row>
    <row r="15270" spans="2:2">
      <c r="B15270" s="3"/>
    </row>
    <row r="15271" spans="2:2">
      <c r="B15271" s="3"/>
    </row>
    <row r="15272" spans="2:2">
      <c r="B15272" s="3"/>
    </row>
    <row r="15273" spans="2:2">
      <c r="B15273" s="3"/>
    </row>
    <row r="15274" spans="2:2">
      <c r="B15274" s="3"/>
    </row>
    <row r="15275" spans="2:2">
      <c r="B15275" s="3"/>
    </row>
    <row r="15276" spans="2:2">
      <c r="B15276" s="3"/>
    </row>
    <row r="15277" spans="2:2">
      <c r="B15277" s="3"/>
    </row>
    <row r="15278" spans="2:2">
      <c r="B15278" s="3"/>
    </row>
    <row r="15279" spans="2:2">
      <c r="B15279" s="3"/>
    </row>
    <row r="15280" spans="2:2">
      <c r="B15280" s="3"/>
    </row>
    <row r="15281" spans="2:2">
      <c r="B15281" s="3"/>
    </row>
    <row r="15282" spans="2:2">
      <c r="B15282" s="3"/>
    </row>
    <row r="15283" spans="2:2">
      <c r="B15283" s="3"/>
    </row>
    <row r="15284" spans="2:2">
      <c r="B15284" s="3"/>
    </row>
    <row r="15285" spans="2:2">
      <c r="B15285" s="3"/>
    </row>
    <row r="15286" spans="2:2">
      <c r="B15286" s="3"/>
    </row>
    <row r="15287" spans="2:2">
      <c r="B15287" s="3"/>
    </row>
    <row r="15288" spans="2:2">
      <c r="B15288" s="3"/>
    </row>
    <row r="15289" spans="2:2">
      <c r="B15289" s="3"/>
    </row>
    <row r="15290" spans="2:2">
      <c r="B15290" s="3"/>
    </row>
    <row r="15291" spans="2:2">
      <c r="B15291" s="3"/>
    </row>
    <row r="15292" spans="2:2">
      <c r="B15292" s="3"/>
    </row>
    <row r="15293" spans="2:2">
      <c r="B15293" s="3"/>
    </row>
    <row r="15294" spans="2:2">
      <c r="B15294" s="3"/>
    </row>
    <row r="15295" spans="2:2">
      <c r="B15295" s="3"/>
    </row>
    <row r="15296" spans="2:2">
      <c r="B15296" s="3"/>
    </row>
    <row r="15297" spans="2:2">
      <c r="B15297" s="3"/>
    </row>
    <row r="15298" spans="2:2">
      <c r="B15298" s="3"/>
    </row>
    <row r="15299" spans="2:2">
      <c r="B15299" s="3"/>
    </row>
    <row r="15300" spans="2:2">
      <c r="B15300" s="3"/>
    </row>
    <row r="15301" spans="2:2">
      <c r="B15301" s="3"/>
    </row>
    <row r="15302" spans="2:2">
      <c r="B15302" s="3"/>
    </row>
    <row r="15303" spans="2:2">
      <c r="B15303" s="3"/>
    </row>
    <row r="15304" spans="2:2">
      <c r="B15304" s="3"/>
    </row>
    <row r="15305" spans="2:2">
      <c r="B15305" s="3"/>
    </row>
    <row r="15306" spans="2:2">
      <c r="B15306" s="3"/>
    </row>
    <row r="15307" spans="2:2">
      <c r="B15307" s="3"/>
    </row>
    <row r="15308" spans="2:2">
      <c r="B15308" s="3"/>
    </row>
    <row r="15309" spans="2:2">
      <c r="B15309" s="3"/>
    </row>
    <row r="15310" spans="2:2">
      <c r="B15310" s="3"/>
    </row>
    <row r="15311" spans="2:2">
      <c r="B15311" s="3"/>
    </row>
    <row r="15312" spans="2:2">
      <c r="B15312" s="3"/>
    </row>
    <row r="15313" spans="2:2">
      <c r="B15313" s="3"/>
    </row>
    <row r="15314" spans="2:2">
      <c r="B15314" s="3"/>
    </row>
    <row r="15315" spans="2:2">
      <c r="B15315" s="3"/>
    </row>
    <row r="15316" spans="2:2">
      <c r="B15316" s="3"/>
    </row>
    <row r="15317" spans="2:2">
      <c r="B15317" s="3"/>
    </row>
    <row r="15318" spans="2:2">
      <c r="B15318" s="3"/>
    </row>
    <row r="15319" spans="2:2">
      <c r="B15319" s="3"/>
    </row>
    <row r="15320" spans="2:2">
      <c r="B15320" s="3"/>
    </row>
    <row r="15321" spans="2:2">
      <c r="B15321" s="3"/>
    </row>
    <row r="15322" spans="2:2">
      <c r="B15322" s="3"/>
    </row>
    <row r="15323" spans="2:2">
      <c r="B15323" s="3"/>
    </row>
    <row r="15324" spans="2:2">
      <c r="B15324" s="3"/>
    </row>
    <row r="15325" spans="2:2">
      <c r="B15325" s="3"/>
    </row>
    <row r="15326" spans="2:2">
      <c r="B15326" s="3"/>
    </row>
    <row r="15327" spans="2:2">
      <c r="B15327" s="3"/>
    </row>
    <row r="15328" spans="2:2">
      <c r="B15328" s="3"/>
    </row>
    <row r="15329" spans="2:2">
      <c r="B15329" s="3"/>
    </row>
    <row r="15330" spans="2:2">
      <c r="B15330" s="3"/>
    </row>
    <row r="15331" spans="2:2">
      <c r="B15331" s="3"/>
    </row>
    <row r="15332" spans="2:2">
      <c r="B15332" s="3"/>
    </row>
    <row r="15333" spans="2:2">
      <c r="B15333" s="3"/>
    </row>
    <row r="15334" spans="2:2">
      <c r="B15334" s="3"/>
    </row>
    <row r="15335" spans="2:2">
      <c r="B15335" s="3"/>
    </row>
    <row r="15336" spans="2:2">
      <c r="B15336" s="3"/>
    </row>
    <row r="15337" spans="2:2">
      <c r="B15337" s="3"/>
    </row>
    <row r="15338" spans="2:2">
      <c r="B15338" s="3"/>
    </row>
    <row r="15339" spans="2:2">
      <c r="B15339" s="3"/>
    </row>
    <row r="15340" spans="2:2">
      <c r="B15340" s="3"/>
    </row>
    <row r="15341" spans="2:2">
      <c r="B15341" s="3"/>
    </row>
    <row r="15342" spans="2:2">
      <c r="B15342" s="3"/>
    </row>
    <row r="15343" spans="2:2">
      <c r="B15343" s="3"/>
    </row>
    <row r="15344" spans="2:2">
      <c r="B15344" s="3"/>
    </row>
    <row r="15345" spans="2:2">
      <c r="B15345" s="3"/>
    </row>
    <row r="15346" spans="2:2">
      <c r="B15346" s="3"/>
    </row>
    <row r="15347" spans="2:2">
      <c r="B15347" s="3"/>
    </row>
    <row r="15348" spans="2:2">
      <c r="B15348" s="3"/>
    </row>
    <row r="15349" spans="2:2">
      <c r="B15349" s="3"/>
    </row>
    <row r="15350" spans="2:2">
      <c r="B15350" s="3"/>
    </row>
    <row r="15351" spans="2:2">
      <c r="B15351" s="3"/>
    </row>
    <row r="15352" spans="2:2">
      <c r="B15352" s="3"/>
    </row>
    <row r="15353" spans="2:2">
      <c r="B15353" s="3"/>
    </row>
    <row r="15354" spans="2:2">
      <c r="B15354" s="3"/>
    </row>
    <row r="15355" spans="2:2">
      <c r="B15355" s="3"/>
    </row>
    <row r="15356" spans="2:2">
      <c r="B15356" s="3"/>
    </row>
    <row r="15357" spans="2:2">
      <c r="B15357" s="3"/>
    </row>
    <row r="15358" spans="2:2">
      <c r="B15358" s="3"/>
    </row>
    <row r="15359" spans="2:2">
      <c r="B15359" s="3"/>
    </row>
    <row r="15360" spans="2:2">
      <c r="B15360" s="3"/>
    </row>
    <row r="15361" spans="2:2">
      <c r="B15361" s="3"/>
    </row>
    <row r="15362" spans="2:2">
      <c r="B15362" s="3"/>
    </row>
    <row r="15363" spans="2:2">
      <c r="B15363" s="3"/>
    </row>
    <row r="15364" spans="2:2">
      <c r="B15364" s="3"/>
    </row>
    <row r="15365" spans="2:2">
      <c r="B15365" s="3"/>
    </row>
    <row r="15366" spans="2:2">
      <c r="B15366" s="3"/>
    </row>
    <row r="15367" spans="2:2">
      <c r="B15367" s="3"/>
    </row>
    <row r="15368" spans="2:2">
      <c r="B15368" s="3"/>
    </row>
    <row r="15369" spans="2:2">
      <c r="B15369" s="3"/>
    </row>
    <row r="15370" spans="2:2">
      <c r="B15370" s="3"/>
    </row>
    <row r="15371" spans="2:2">
      <c r="B15371" s="3"/>
    </row>
    <row r="15372" spans="2:2">
      <c r="B15372" s="3"/>
    </row>
    <row r="15373" spans="2:2">
      <c r="B15373" s="3"/>
    </row>
    <row r="15374" spans="2:2">
      <c r="B15374" s="3"/>
    </row>
    <row r="15375" spans="2:2">
      <c r="B15375" s="3"/>
    </row>
    <row r="15376" spans="2:2">
      <c r="B15376" s="3"/>
    </row>
    <row r="15377" spans="2:2">
      <c r="B15377" s="3"/>
    </row>
    <row r="15378" spans="2:2">
      <c r="B15378" s="3"/>
    </row>
    <row r="15379" spans="2:2">
      <c r="B15379" s="3"/>
    </row>
    <row r="15380" spans="2:2">
      <c r="B15380" s="3"/>
    </row>
    <row r="15381" spans="2:2">
      <c r="B15381" s="3"/>
    </row>
    <row r="15382" spans="2:2">
      <c r="B15382" s="3"/>
    </row>
    <row r="15383" spans="2:2">
      <c r="B15383" s="3"/>
    </row>
    <row r="15384" spans="2:2">
      <c r="B15384" s="3"/>
    </row>
    <row r="15385" spans="2:2">
      <c r="B15385" s="3"/>
    </row>
    <row r="15386" spans="2:2">
      <c r="B15386" s="3"/>
    </row>
    <row r="15387" spans="2:2">
      <c r="B15387" s="3"/>
    </row>
    <row r="15388" spans="2:2">
      <c r="B15388" s="3"/>
    </row>
    <row r="15389" spans="2:2">
      <c r="B15389" s="3"/>
    </row>
    <row r="15390" spans="2:2">
      <c r="B15390" s="3"/>
    </row>
    <row r="15391" spans="2:2">
      <c r="B15391" s="3"/>
    </row>
    <row r="15392" spans="2:2">
      <c r="B15392" s="3"/>
    </row>
    <row r="15393" spans="2:2">
      <c r="B15393" s="3"/>
    </row>
    <row r="15394" spans="2:2">
      <c r="B15394" s="3"/>
    </row>
    <row r="15395" spans="2:2">
      <c r="B15395" s="3"/>
    </row>
    <row r="15396" spans="2:2">
      <c r="B15396" s="3"/>
    </row>
    <row r="15397" spans="2:2">
      <c r="B15397" s="3"/>
    </row>
    <row r="15398" spans="2:2">
      <c r="B15398" s="3"/>
    </row>
    <row r="15399" spans="2:2">
      <c r="B15399" s="3"/>
    </row>
    <row r="15400" spans="2:2">
      <c r="B15400" s="3"/>
    </row>
    <row r="15401" spans="2:2">
      <c r="B15401" s="3"/>
    </row>
    <row r="15402" spans="2:2">
      <c r="B15402" s="3"/>
    </row>
    <row r="15403" spans="2:2">
      <c r="B15403" s="3"/>
    </row>
    <row r="15404" spans="2:2">
      <c r="B15404" s="3"/>
    </row>
    <row r="15405" spans="2:2">
      <c r="B15405" s="3"/>
    </row>
    <row r="15406" spans="2:2">
      <c r="B15406" s="3"/>
    </row>
    <row r="15407" spans="2:2">
      <c r="B15407" s="3"/>
    </row>
    <row r="15408" spans="2:2">
      <c r="B15408" s="3"/>
    </row>
    <row r="15409" spans="2:2">
      <c r="B15409" s="3"/>
    </row>
    <row r="15410" spans="2:2">
      <c r="B15410" s="3"/>
    </row>
    <row r="15411" spans="2:2">
      <c r="B15411" s="3"/>
    </row>
    <row r="15412" spans="2:2">
      <c r="B15412" s="3"/>
    </row>
    <row r="15413" spans="2:2">
      <c r="B15413" s="3"/>
    </row>
    <row r="15414" spans="2:2">
      <c r="B15414" s="3"/>
    </row>
    <row r="15415" spans="2:2">
      <c r="B15415" s="3"/>
    </row>
    <row r="15416" spans="2:2">
      <c r="B15416" s="3"/>
    </row>
    <row r="15417" spans="2:2">
      <c r="B15417" s="3"/>
    </row>
    <row r="15418" spans="2:2">
      <c r="B15418" s="3"/>
    </row>
    <row r="15419" spans="2:2">
      <c r="B15419" s="3"/>
    </row>
    <row r="15420" spans="2:2">
      <c r="B15420" s="3"/>
    </row>
    <row r="15421" spans="2:2">
      <c r="B15421" s="3"/>
    </row>
    <row r="15422" spans="2:2">
      <c r="B15422" s="3"/>
    </row>
    <row r="15423" spans="2:2">
      <c r="B15423" s="3"/>
    </row>
    <row r="15424" spans="2:2">
      <c r="B15424" s="3"/>
    </row>
    <row r="15425" spans="2:2">
      <c r="B15425" s="3"/>
    </row>
    <row r="15426" spans="2:2">
      <c r="B15426" s="3"/>
    </row>
    <row r="15427" spans="2:2">
      <c r="B15427" s="3"/>
    </row>
    <row r="15428" spans="2:2">
      <c r="B15428" s="3"/>
    </row>
    <row r="15429" spans="2:2">
      <c r="B15429" s="3"/>
    </row>
    <row r="15430" spans="2:2">
      <c r="B15430" s="3"/>
    </row>
    <row r="15431" spans="2:2">
      <c r="B15431" s="3"/>
    </row>
    <row r="15432" spans="2:2">
      <c r="B15432" s="3"/>
    </row>
    <row r="15433" spans="2:2">
      <c r="B15433" s="3"/>
    </row>
    <row r="15434" spans="2:2">
      <c r="B15434" s="3"/>
    </row>
    <row r="15435" spans="2:2">
      <c r="B15435" s="3"/>
    </row>
    <row r="15436" spans="2:2">
      <c r="B15436" s="3"/>
    </row>
    <row r="15437" spans="2:2">
      <c r="B15437" s="3"/>
    </row>
    <row r="15438" spans="2:2">
      <c r="B15438" s="3"/>
    </row>
    <row r="15439" spans="2:2">
      <c r="B15439" s="3"/>
    </row>
    <row r="15440" spans="2:2">
      <c r="B15440" s="3"/>
    </row>
    <row r="15441" spans="2:2">
      <c r="B15441" s="3"/>
    </row>
    <row r="15442" spans="2:2">
      <c r="B15442" s="3"/>
    </row>
    <row r="15443" spans="2:2">
      <c r="B15443" s="3"/>
    </row>
    <row r="15444" spans="2:2">
      <c r="B15444" s="3"/>
    </row>
    <row r="15445" spans="2:2">
      <c r="B15445" s="3"/>
    </row>
    <row r="15446" spans="2:2">
      <c r="B15446" s="3"/>
    </row>
    <row r="15447" spans="2:2">
      <c r="B15447" s="3"/>
    </row>
    <row r="15448" spans="2:2">
      <c r="B15448" s="3"/>
    </row>
    <row r="15449" spans="2:2">
      <c r="B15449" s="3"/>
    </row>
    <row r="15450" spans="2:2">
      <c r="B15450" s="3"/>
    </row>
    <row r="15451" spans="2:2">
      <c r="B15451" s="3"/>
    </row>
    <row r="15452" spans="2:2">
      <c r="B15452" s="3"/>
    </row>
    <row r="15453" spans="2:2">
      <c r="B15453" s="3"/>
    </row>
    <row r="15454" spans="2:2">
      <c r="B15454" s="3"/>
    </row>
    <row r="15455" spans="2:2">
      <c r="B15455" s="3"/>
    </row>
    <row r="15456" spans="2:2">
      <c r="B15456" s="3"/>
    </row>
    <row r="15457" spans="2:2">
      <c r="B15457" s="3"/>
    </row>
    <row r="15458" spans="2:2">
      <c r="B15458" s="3"/>
    </row>
    <row r="15459" spans="2:2">
      <c r="B15459" s="3"/>
    </row>
    <row r="15460" spans="2:2">
      <c r="B15460" s="3"/>
    </row>
    <row r="15461" spans="2:2">
      <c r="B15461" s="3"/>
    </row>
    <row r="15462" spans="2:2">
      <c r="B15462" s="3"/>
    </row>
    <row r="15463" spans="2:2">
      <c r="B15463" s="3"/>
    </row>
    <row r="15464" spans="2:2">
      <c r="B15464" s="3"/>
    </row>
    <row r="15465" spans="2:2">
      <c r="B15465" s="3"/>
    </row>
    <row r="15466" spans="2:2">
      <c r="B15466" s="3"/>
    </row>
    <row r="15467" spans="2:2">
      <c r="B15467" s="3"/>
    </row>
    <row r="15468" spans="2:2">
      <c r="B15468" s="3"/>
    </row>
    <row r="15469" spans="2:2">
      <c r="B15469" s="3"/>
    </row>
    <row r="15470" spans="2:2">
      <c r="B15470" s="3"/>
    </row>
    <row r="15471" spans="2:2">
      <c r="B15471" s="3"/>
    </row>
    <row r="15472" spans="2:2">
      <c r="B15472" s="3"/>
    </row>
    <row r="15473" spans="2:2">
      <c r="B15473" s="3"/>
    </row>
    <row r="15474" spans="2:2">
      <c r="B15474" s="3"/>
    </row>
    <row r="15475" spans="2:2">
      <c r="B15475" s="3"/>
    </row>
    <row r="15476" spans="2:2">
      <c r="B15476" s="3"/>
    </row>
    <row r="15477" spans="2:2">
      <c r="B15477" s="3"/>
    </row>
    <row r="15478" spans="2:2">
      <c r="B15478" s="3"/>
    </row>
    <row r="15479" spans="2:2">
      <c r="B15479" s="3"/>
    </row>
    <row r="15480" spans="2:2">
      <c r="B15480" s="3"/>
    </row>
    <row r="15481" spans="2:2">
      <c r="B15481" s="3"/>
    </row>
    <row r="15482" spans="2:2">
      <c r="B15482" s="3"/>
    </row>
    <row r="15483" spans="2:2">
      <c r="B15483" s="3"/>
    </row>
    <row r="15484" spans="2:2">
      <c r="B15484" s="3"/>
    </row>
    <row r="15485" spans="2:2">
      <c r="B15485" s="3"/>
    </row>
    <row r="15486" spans="2:2">
      <c r="B15486" s="3"/>
    </row>
    <row r="15487" spans="2:2">
      <c r="B15487" s="3"/>
    </row>
    <row r="15488" spans="2:2">
      <c r="B15488" s="3"/>
    </row>
    <row r="15489" spans="2:2">
      <c r="B15489" s="3"/>
    </row>
    <row r="15490" spans="2:2">
      <c r="B15490" s="3"/>
    </row>
    <row r="15491" spans="2:2">
      <c r="B15491" s="3"/>
    </row>
    <row r="15492" spans="2:2">
      <c r="B15492" s="3"/>
    </row>
    <row r="15493" spans="2:2">
      <c r="B15493" s="3"/>
    </row>
    <row r="15494" spans="2:2">
      <c r="B15494" s="3"/>
    </row>
    <row r="15495" spans="2:2">
      <c r="B15495" s="3"/>
    </row>
    <row r="15496" spans="2:2">
      <c r="B15496" s="3"/>
    </row>
    <row r="15497" spans="2:2">
      <c r="B15497" s="3"/>
    </row>
    <row r="15498" spans="2:2">
      <c r="B15498" s="3"/>
    </row>
    <row r="15499" spans="2:2">
      <c r="B15499" s="3"/>
    </row>
    <row r="15500" spans="2:2">
      <c r="B15500" s="3"/>
    </row>
    <row r="15501" spans="2:2">
      <c r="B15501" s="3"/>
    </row>
    <row r="15502" spans="2:2">
      <c r="B15502" s="3"/>
    </row>
    <row r="15503" spans="2:2">
      <c r="B15503" s="3"/>
    </row>
    <row r="15504" spans="2:2">
      <c r="B15504" s="3"/>
    </row>
    <row r="15505" spans="2:2">
      <c r="B15505" s="3"/>
    </row>
    <row r="15506" spans="2:2">
      <c r="B15506" s="3"/>
    </row>
    <row r="15507" spans="2:2">
      <c r="B15507" s="3"/>
    </row>
    <row r="15508" spans="2:2">
      <c r="B15508" s="3"/>
    </row>
    <row r="15509" spans="2:2">
      <c r="B15509" s="3"/>
    </row>
    <row r="15510" spans="2:2">
      <c r="B15510" s="3"/>
    </row>
    <row r="15511" spans="2:2">
      <c r="B15511" s="3"/>
    </row>
    <row r="15512" spans="2:2">
      <c r="B15512" s="3"/>
    </row>
    <row r="15513" spans="2:2">
      <c r="B15513" s="3"/>
    </row>
    <row r="15514" spans="2:2">
      <c r="B15514" s="3"/>
    </row>
    <row r="15515" spans="2:2">
      <c r="B15515" s="3"/>
    </row>
    <row r="15516" spans="2:2">
      <c r="B15516" s="3"/>
    </row>
    <row r="15517" spans="2:2">
      <c r="B15517" s="3"/>
    </row>
    <row r="15518" spans="2:2">
      <c r="B15518" s="3"/>
    </row>
    <row r="15519" spans="2:2">
      <c r="B15519" s="3"/>
    </row>
    <row r="15520" spans="2:2">
      <c r="B15520" s="3"/>
    </row>
    <row r="15521" spans="2:2">
      <c r="B15521" s="3"/>
    </row>
    <row r="15522" spans="2:2">
      <c r="B15522" s="3"/>
    </row>
    <row r="15523" spans="2:2">
      <c r="B15523" s="3"/>
    </row>
    <row r="15524" spans="2:2">
      <c r="B15524" s="3"/>
    </row>
    <row r="15525" spans="2:2">
      <c r="B15525" s="3"/>
    </row>
    <row r="15526" spans="2:2">
      <c r="B15526" s="3"/>
    </row>
    <row r="15527" spans="2:2">
      <c r="B15527" s="3"/>
    </row>
    <row r="15528" spans="2:2">
      <c r="B15528" s="3"/>
    </row>
    <row r="15529" spans="2:2">
      <c r="B15529" s="3"/>
    </row>
    <row r="15530" spans="2:2">
      <c r="B15530" s="3"/>
    </row>
    <row r="15531" spans="2:2">
      <c r="B15531" s="3"/>
    </row>
    <row r="15532" spans="2:2">
      <c r="B15532" s="3"/>
    </row>
    <row r="15533" spans="2:2">
      <c r="B15533" s="3"/>
    </row>
    <row r="15534" spans="2:2">
      <c r="B15534" s="3"/>
    </row>
    <row r="15535" spans="2:2">
      <c r="B15535" s="3"/>
    </row>
    <row r="15536" spans="2:2">
      <c r="B15536" s="3"/>
    </row>
    <row r="15537" spans="2:2">
      <c r="B15537" s="3"/>
    </row>
    <row r="15538" spans="2:2">
      <c r="B15538" s="3"/>
    </row>
    <row r="15539" spans="2:2">
      <c r="B15539" s="3"/>
    </row>
    <row r="15540" spans="2:2">
      <c r="B15540" s="3"/>
    </row>
    <row r="15541" spans="2:2">
      <c r="B15541" s="3"/>
    </row>
    <row r="15542" spans="2:2">
      <c r="B15542" s="3"/>
    </row>
    <row r="15543" spans="2:2">
      <c r="B15543" s="3"/>
    </row>
    <row r="15544" spans="2:2">
      <c r="B15544" s="3"/>
    </row>
    <row r="15545" spans="2:2">
      <c r="B15545" s="3"/>
    </row>
    <row r="15546" spans="2:2">
      <c r="B15546" s="3"/>
    </row>
    <row r="15547" spans="2:2">
      <c r="B15547" s="3"/>
    </row>
    <row r="15548" spans="2:2">
      <c r="B15548" s="3"/>
    </row>
    <row r="15549" spans="2:2">
      <c r="B15549" s="3"/>
    </row>
    <row r="15550" spans="2:2">
      <c r="B15550" s="3"/>
    </row>
    <row r="15551" spans="2:2">
      <c r="B15551" s="3"/>
    </row>
    <row r="15552" spans="2:2">
      <c r="B15552" s="3"/>
    </row>
    <row r="15553" spans="2:2">
      <c r="B15553" s="3"/>
    </row>
    <row r="15554" spans="2:2">
      <c r="B15554" s="3"/>
    </row>
    <row r="15555" spans="2:2">
      <c r="B15555" s="3"/>
    </row>
    <row r="15556" spans="2:2">
      <c r="B15556" s="3"/>
    </row>
    <row r="15557" spans="2:2">
      <c r="B15557" s="3"/>
    </row>
    <row r="15558" spans="2:2">
      <c r="B15558" s="3"/>
    </row>
    <row r="15559" spans="2:2">
      <c r="B15559" s="3"/>
    </row>
    <row r="15560" spans="2:2">
      <c r="B15560" s="3"/>
    </row>
    <row r="15561" spans="2:2">
      <c r="B15561" s="3"/>
    </row>
    <row r="15562" spans="2:2">
      <c r="B15562" s="3"/>
    </row>
    <row r="15563" spans="2:2">
      <c r="B15563" s="3"/>
    </row>
    <row r="15564" spans="2:2">
      <c r="B15564" s="3"/>
    </row>
    <row r="15565" spans="2:2">
      <c r="B15565" s="3"/>
    </row>
    <row r="15566" spans="2:2">
      <c r="B15566" s="3"/>
    </row>
    <row r="15567" spans="2:2">
      <c r="B15567" s="3"/>
    </row>
    <row r="15568" spans="2:2">
      <c r="B15568" s="3"/>
    </row>
    <row r="15569" spans="2:2">
      <c r="B15569" s="3"/>
    </row>
    <row r="15570" spans="2:2">
      <c r="B15570" s="3"/>
    </row>
    <row r="15571" spans="2:2">
      <c r="B15571" s="3"/>
    </row>
    <row r="15572" spans="2:2">
      <c r="B15572" s="3"/>
    </row>
    <row r="15573" spans="2:2">
      <c r="B15573" s="3"/>
    </row>
    <row r="15574" spans="2:2">
      <c r="B15574" s="3"/>
    </row>
    <row r="15575" spans="2:2">
      <c r="B15575" s="3"/>
    </row>
    <row r="15576" spans="2:2">
      <c r="B15576" s="3"/>
    </row>
    <row r="15577" spans="2:2">
      <c r="B15577" s="3"/>
    </row>
    <row r="15578" spans="2:2">
      <c r="B15578" s="3"/>
    </row>
    <row r="15579" spans="2:2">
      <c r="B15579" s="3"/>
    </row>
    <row r="15580" spans="2:2">
      <c r="B15580" s="3"/>
    </row>
    <row r="15581" spans="2:2">
      <c r="B15581" s="3"/>
    </row>
    <row r="15582" spans="2:2">
      <c r="B15582" s="3"/>
    </row>
    <row r="15583" spans="2:2">
      <c r="B15583" s="3"/>
    </row>
    <row r="15584" spans="2:2">
      <c r="B15584" s="3"/>
    </row>
    <row r="15585" spans="2:2">
      <c r="B15585" s="3"/>
    </row>
    <row r="15586" spans="2:2">
      <c r="B15586" s="3"/>
    </row>
    <row r="15587" spans="2:2">
      <c r="B15587" s="3"/>
    </row>
    <row r="15588" spans="2:2">
      <c r="B15588" s="3"/>
    </row>
    <row r="15589" spans="2:2">
      <c r="B15589" s="3"/>
    </row>
    <row r="15590" spans="2:2">
      <c r="B15590" s="3"/>
    </row>
    <row r="15591" spans="2:2">
      <c r="B15591" s="3"/>
    </row>
    <row r="15592" spans="2:2">
      <c r="B15592" s="3"/>
    </row>
    <row r="15593" spans="2:2">
      <c r="B15593" s="3"/>
    </row>
    <row r="15594" spans="2:2">
      <c r="B15594" s="3"/>
    </row>
    <row r="15595" spans="2:2">
      <c r="B15595" s="3"/>
    </row>
    <row r="15596" spans="2:2">
      <c r="B15596" s="3"/>
    </row>
    <row r="15597" spans="2:2">
      <c r="B15597" s="3"/>
    </row>
    <row r="15598" spans="2:2">
      <c r="B15598" s="3"/>
    </row>
    <row r="15599" spans="2:2">
      <c r="B15599" s="3"/>
    </row>
    <row r="15600" spans="2:2">
      <c r="B15600" s="3"/>
    </row>
    <row r="15601" spans="2:2">
      <c r="B15601" s="3"/>
    </row>
    <row r="15602" spans="2:2">
      <c r="B15602" s="3"/>
    </row>
    <row r="15603" spans="2:2">
      <c r="B15603" s="3"/>
    </row>
    <row r="15604" spans="2:2">
      <c r="B15604" s="3"/>
    </row>
    <row r="15605" spans="2:2">
      <c r="B15605" s="3"/>
    </row>
    <row r="15606" spans="2:2">
      <c r="B15606" s="3"/>
    </row>
    <row r="15607" spans="2:2">
      <c r="B15607" s="3"/>
    </row>
    <row r="15608" spans="2:2">
      <c r="B15608" s="3"/>
    </row>
    <row r="15609" spans="2:2">
      <c r="B15609" s="3"/>
    </row>
    <row r="15610" spans="2:2">
      <c r="B15610" s="3"/>
    </row>
    <row r="15611" spans="2:2">
      <c r="B15611" s="3"/>
    </row>
    <row r="15612" spans="2:2">
      <c r="B15612" s="3"/>
    </row>
    <row r="15613" spans="2:2">
      <c r="B15613" s="3"/>
    </row>
    <row r="15614" spans="2:2">
      <c r="B15614" s="3"/>
    </row>
    <row r="15615" spans="2:2">
      <c r="B15615" s="3"/>
    </row>
    <row r="15616" spans="2:2">
      <c r="B15616" s="3"/>
    </row>
    <row r="15617" spans="2:2">
      <c r="B15617" s="3"/>
    </row>
    <row r="15618" spans="2:2">
      <c r="B15618" s="3"/>
    </row>
    <row r="15619" spans="2:2">
      <c r="B15619" s="3"/>
    </row>
    <row r="15620" spans="2:2">
      <c r="B15620" s="3"/>
    </row>
    <row r="15621" spans="2:2">
      <c r="B15621" s="3"/>
    </row>
    <row r="15622" spans="2:2">
      <c r="B15622" s="3"/>
    </row>
    <row r="15623" spans="2:2">
      <c r="B15623" s="3"/>
    </row>
    <row r="15624" spans="2:2">
      <c r="B15624" s="3"/>
    </row>
    <row r="15625" spans="2:2">
      <c r="B15625" s="3"/>
    </row>
    <row r="15626" spans="2:2">
      <c r="B15626" s="3"/>
    </row>
    <row r="15627" spans="2:2">
      <c r="B15627" s="3"/>
    </row>
    <row r="15628" spans="2:2">
      <c r="B15628" s="3"/>
    </row>
    <row r="15629" spans="2:2">
      <c r="B15629" s="3"/>
    </row>
    <row r="15630" spans="2:2">
      <c r="B15630" s="3"/>
    </row>
    <row r="15631" spans="2:2">
      <c r="B15631" s="3"/>
    </row>
    <row r="15632" spans="2:2">
      <c r="B15632" s="3"/>
    </row>
    <row r="15633" spans="2:2">
      <c r="B15633" s="3"/>
    </row>
    <row r="15634" spans="2:2">
      <c r="B15634" s="3"/>
    </row>
    <row r="15635" spans="2:2">
      <c r="B15635" s="3"/>
    </row>
    <row r="15636" spans="2:2">
      <c r="B15636" s="3"/>
    </row>
    <row r="15637" spans="2:2">
      <c r="B15637" s="3"/>
    </row>
    <row r="15638" spans="2:2">
      <c r="B15638" s="3"/>
    </row>
    <row r="15639" spans="2:2">
      <c r="B15639" s="3"/>
    </row>
    <row r="15640" spans="2:2">
      <c r="B15640" s="3"/>
    </row>
    <row r="15641" spans="2:2">
      <c r="B15641" s="3"/>
    </row>
    <row r="15642" spans="2:2">
      <c r="B15642" s="3"/>
    </row>
    <row r="15643" spans="2:2">
      <c r="B15643" s="3"/>
    </row>
    <row r="15644" spans="2:2">
      <c r="B15644" s="3"/>
    </row>
    <row r="15645" spans="2:2">
      <c r="B15645" s="3"/>
    </row>
    <row r="15646" spans="2:2">
      <c r="B15646" s="3"/>
    </row>
    <row r="15647" spans="2:2">
      <c r="B15647" s="3"/>
    </row>
    <row r="15648" spans="2:2">
      <c r="B15648" s="3"/>
    </row>
    <row r="15649" spans="2:2">
      <c r="B15649" s="3"/>
    </row>
    <row r="15650" spans="2:2">
      <c r="B15650" s="3"/>
    </row>
    <row r="15651" spans="2:2">
      <c r="B15651" s="3"/>
    </row>
    <row r="15652" spans="2:2">
      <c r="B15652" s="3"/>
    </row>
    <row r="15653" spans="2:2">
      <c r="B15653" s="3"/>
    </row>
    <row r="15654" spans="2:2">
      <c r="B15654" s="3"/>
    </row>
    <row r="15655" spans="2:2">
      <c r="B15655" s="3"/>
    </row>
    <row r="15656" spans="2:2">
      <c r="B15656" s="3"/>
    </row>
    <row r="15657" spans="2:2">
      <c r="B15657" s="3"/>
    </row>
    <row r="15658" spans="2:2">
      <c r="B15658" s="3"/>
    </row>
    <row r="15659" spans="2:2">
      <c r="B15659" s="3"/>
    </row>
    <row r="15660" spans="2:2">
      <c r="B15660" s="3"/>
    </row>
    <row r="15661" spans="2:2">
      <c r="B15661" s="3"/>
    </row>
    <row r="15662" spans="2:2">
      <c r="B15662" s="3"/>
    </row>
    <row r="15663" spans="2:2">
      <c r="B15663" s="3"/>
    </row>
    <row r="15664" spans="2:2">
      <c r="B15664" s="3"/>
    </row>
    <row r="15665" spans="2:2">
      <c r="B15665" s="3"/>
    </row>
    <row r="15666" spans="2:2">
      <c r="B15666" s="3"/>
    </row>
    <row r="15667" spans="2:2">
      <c r="B15667" s="3"/>
    </row>
    <row r="15668" spans="2:2">
      <c r="B15668" s="3"/>
    </row>
    <row r="15669" spans="2:2">
      <c r="B15669" s="3"/>
    </row>
    <row r="15670" spans="2:2">
      <c r="B15670" s="3"/>
    </row>
    <row r="15671" spans="2:2">
      <c r="B15671" s="3"/>
    </row>
    <row r="15672" spans="2:2">
      <c r="B15672" s="3"/>
    </row>
    <row r="15673" spans="2:2">
      <c r="B15673" s="3"/>
    </row>
    <row r="15674" spans="2:2">
      <c r="B15674" s="3"/>
    </row>
    <row r="15675" spans="2:2">
      <c r="B15675" s="3"/>
    </row>
    <row r="15676" spans="2:2">
      <c r="B15676" s="3"/>
    </row>
    <row r="15677" spans="2:2">
      <c r="B15677" s="3"/>
    </row>
    <row r="15678" spans="2:2">
      <c r="B15678" s="3"/>
    </row>
    <row r="15679" spans="2:2">
      <c r="B15679" s="3"/>
    </row>
    <row r="15680" spans="2:2">
      <c r="B15680" s="3"/>
    </row>
    <row r="15681" spans="2:2">
      <c r="B15681" s="3"/>
    </row>
    <row r="15682" spans="2:2">
      <c r="B15682" s="3"/>
    </row>
    <row r="15683" spans="2:2">
      <c r="B15683" s="3"/>
    </row>
    <row r="15684" spans="2:2">
      <c r="B15684" s="3"/>
    </row>
    <row r="15685" spans="2:2">
      <c r="B15685" s="3"/>
    </row>
    <row r="15686" spans="2:2">
      <c r="B15686" s="3"/>
    </row>
    <row r="15687" spans="2:2">
      <c r="B15687" s="3"/>
    </row>
    <row r="15688" spans="2:2">
      <c r="B15688" s="3"/>
    </row>
    <row r="15689" spans="2:2">
      <c r="B15689" s="3"/>
    </row>
    <row r="15690" spans="2:2">
      <c r="B15690" s="3"/>
    </row>
    <row r="15691" spans="2:2">
      <c r="B15691" s="3"/>
    </row>
    <row r="15692" spans="2:2">
      <c r="B15692" s="3"/>
    </row>
    <row r="15693" spans="2:2">
      <c r="B15693" s="3"/>
    </row>
    <row r="15694" spans="2:2">
      <c r="B15694" s="3"/>
    </row>
    <row r="15695" spans="2:2">
      <c r="B15695" s="3"/>
    </row>
    <row r="15696" spans="2:2">
      <c r="B15696" s="3"/>
    </row>
    <row r="15697" spans="2:2">
      <c r="B15697" s="3"/>
    </row>
    <row r="15698" spans="2:2">
      <c r="B15698" s="3"/>
    </row>
    <row r="15699" spans="2:2">
      <c r="B15699" s="3"/>
    </row>
    <row r="15700" spans="2:2">
      <c r="B15700" s="3"/>
    </row>
    <row r="15701" spans="2:2">
      <c r="B15701" s="3"/>
    </row>
    <row r="15702" spans="2:2">
      <c r="B15702" s="3"/>
    </row>
    <row r="15703" spans="2:2">
      <c r="B15703" s="3"/>
    </row>
    <row r="15704" spans="2:2">
      <c r="B15704" s="3"/>
    </row>
    <row r="15705" spans="2:2">
      <c r="B15705" s="3"/>
    </row>
    <row r="15706" spans="2:2">
      <c r="B15706" s="3"/>
    </row>
    <row r="15707" spans="2:2">
      <c r="B15707" s="3"/>
    </row>
    <row r="15708" spans="2:2">
      <c r="B15708" s="3"/>
    </row>
    <row r="15709" spans="2:2">
      <c r="B15709" s="3"/>
    </row>
    <row r="15710" spans="2:2">
      <c r="B15710" s="3"/>
    </row>
    <row r="15711" spans="2:2">
      <c r="B15711" s="3"/>
    </row>
    <row r="15712" spans="2:2">
      <c r="B15712" s="3"/>
    </row>
    <row r="15713" spans="2:2">
      <c r="B15713" s="3"/>
    </row>
    <row r="15714" spans="2:2">
      <c r="B15714" s="3"/>
    </row>
    <row r="15715" spans="2:2">
      <c r="B15715" s="3"/>
    </row>
    <row r="15716" spans="2:2">
      <c r="B15716" s="3"/>
    </row>
    <row r="15717" spans="2:2">
      <c r="B15717" s="3"/>
    </row>
    <row r="15718" spans="2:2">
      <c r="B15718" s="3"/>
    </row>
    <row r="15719" spans="2:2">
      <c r="B15719" s="3"/>
    </row>
    <row r="15720" spans="2:2">
      <c r="B15720" s="3"/>
    </row>
    <row r="15721" spans="2:2">
      <c r="B15721" s="3"/>
    </row>
    <row r="15722" spans="2:2">
      <c r="B15722" s="3"/>
    </row>
    <row r="15723" spans="2:2">
      <c r="B15723" s="3"/>
    </row>
    <row r="15724" spans="2:2">
      <c r="B15724" s="3"/>
    </row>
    <row r="15725" spans="2:2">
      <c r="B15725" s="3"/>
    </row>
    <row r="15726" spans="2:2">
      <c r="B15726" s="3"/>
    </row>
    <row r="15727" spans="2:2">
      <c r="B15727" s="3"/>
    </row>
    <row r="15728" spans="2:2">
      <c r="B15728" s="3"/>
    </row>
    <row r="15729" spans="2:2">
      <c r="B15729" s="3"/>
    </row>
    <row r="15730" spans="2:2">
      <c r="B15730" s="3"/>
    </row>
    <row r="15731" spans="2:2">
      <c r="B15731" s="3"/>
    </row>
    <row r="15732" spans="2:2">
      <c r="B15732" s="3"/>
    </row>
    <row r="15733" spans="2:2">
      <c r="B15733" s="3"/>
    </row>
    <row r="15734" spans="2:2">
      <c r="B15734" s="3"/>
    </row>
    <row r="15735" spans="2:2">
      <c r="B15735" s="3"/>
    </row>
    <row r="15736" spans="2:2">
      <c r="B15736" s="3"/>
    </row>
    <row r="15737" spans="2:2">
      <c r="B15737" s="3"/>
    </row>
    <row r="15738" spans="2:2">
      <c r="B15738" s="3"/>
    </row>
    <row r="15739" spans="2:2">
      <c r="B15739" s="3"/>
    </row>
    <row r="15740" spans="2:2">
      <c r="B15740" s="3"/>
    </row>
    <row r="15741" spans="2:2">
      <c r="B15741" s="3"/>
    </row>
    <row r="15742" spans="2:2">
      <c r="B15742" s="3"/>
    </row>
    <row r="15743" spans="2:2">
      <c r="B15743" s="3"/>
    </row>
    <row r="15744" spans="2:2">
      <c r="B15744" s="3"/>
    </row>
    <row r="15745" spans="2:2">
      <c r="B15745" s="3"/>
    </row>
    <row r="15746" spans="2:2">
      <c r="B15746" s="3"/>
    </row>
    <row r="15747" spans="2:2">
      <c r="B15747" s="3"/>
    </row>
    <row r="15748" spans="2:2">
      <c r="B15748" s="3"/>
    </row>
    <row r="15749" spans="2:2">
      <c r="B15749" s="3"/>
    </row>
    <row r="15750" spans="2:2">
      <c r="B15750" s="3"/>
    </row>
    <row r="15751" spans="2:2">
      <c r="B15751" s="3"/>
    </row>
    <row r="15752" spans="2:2">
      <c r="B15752" s="3"/>
    </row>
    <row r="15753" spans="2:2">
      <c r="B15753" s="3"/>
    </row>
    <row r="15754" spans="2:2">
      <c r="B15754" s="3"/>
    </row>
    <row r="15755" spans="2:2">
      <c r="B15755" s="3"/>
    </row>
    <row r="15756" spans="2:2">
      <c r="B15756" s="3"/>
    </row>
    <row r="15757" spans="2:2">
      <c r="B15757" s="3"/>
    </row>
    <row r="15758" spans="2:2">
      <c r="B15758" s="3"/>
    </row>
    <row r="15759" spans="2:2">
      <c r="B15759" s="3"/>
    </row>
    <row r="15760" spans="2:2">
      <c r="B15760" s="3"/>
    </row>
    <row r="15761" spans="2:2">
      <c r="B15761" s="3"/>
    </row>
    <row r="15762" spans="2:2">
      <c r="B15762" s="3"/>
    </row>
    <row r="15763" spans="2:2">
      <c r="B15763" s="3"/>
    </row>
    <row r="15764" spans="2:2">
      <c r="B15764" s="3"/>
    </row>
    <row r="15765" spans="2:2">
      <c r="B15765" s="3"/>
    </row>
    <row r="15766" spans="2:2">
      <c r="B15766" s="3"/>
    </row>
    <row r="15767" spans="2:2">
      <c r="B15767" s="3"/>
    </row>
    <row r="15768" spans="2:2">
      <c r="B15768" s="3"/>
    </row>
    <row r="15769" spans="2:2">
      <c r="B15769" s="3"/>
    </row>
    <row r="15770" spans="2:2">
      <c r="B15770" s="3"/>
    </row>
    <row r="15771" spans="2:2">
      <c r="B15771" s="3"/>
    </row>
    <row r="15772" spans="2:2">
      <c r="B15772" s="3"/>
    </row>
    <row r="15773" spans="2:2">
      <c r="B15773" s="3"/>
    </row>
    <row r="15774" spans="2:2">
      <c r="B15774" s="3"/>
    </row>
    <row r="15775" spans="2:2">
      <c r="B15775" s="3"/>
    </row>
    <row r="15776" spans="2:2">
      <c r="B15776" s="3"/>
    </row>
    <row r="15777" spans="2:2">
      <c r="B15777" s="3"/>
    </row>
    <row r="15778" spans="2:2">
      <c r="B15778" s="3"/>
    </row>
    <row r="15779" spans="2:2">
      <c r="B15779" s="3"/>
    </row>
    <row r="15780" spans="2:2">
      <c r="B15780" s="3"/>
    </row>
    <row r="15781" spans="2:2">
      <c r="B15781" s="3"/>
    </row>
    <row r="15782" spans="2:2">
      <c r="B15782" s="3"/>
    </row>
    <row r="15783" spans="2:2">
      <c r="B15783" s="3"/>
    </row>
    <row r="15784" spans="2:2">
      <c r="B15784" s="3"/>
    </row>
    <row r="15785" spans="2:2">
      <c r="B15785" s="3"/>
    </row>
    <row r="15786" spans="2:2">
      <c r="B15786" s="3"/>
    </row>
    <row r="15787" spans="2:2">
      <c r="B15787" s="3"/>
    </row>
    <row r="15788" spans="2:2">
      <c r="B15788" s="3"/>
    </row>
    <row r="15789" spans="2:2">
      <c r="B15789" s="3"/>
    </row>
    <row r="15790" spans="2:2">
      <c r="B15790" s="3"/>
    </row>
    <row r="15791" spans="2:2">
      <c r="B15791" s="3"/>
    </row>
    <row r="15792" spans="2:2">
      <c r="B15792" s="3"/>
    </row>
    <row r="15793" spans="2:2">
      <c r="B15793" s="3"/>
    </row>
    <row r="15794" spans="2:2">
      <c r="B15794" s="3"/>
    </row>
    <row r="15795" spans="2:2">
      <c r="B15795" s="3"/>
    </row>
    <row r="15796" spans="2:2">
      <c r="B15796" s="3"/>
    </row>
    <row r="15797" spans="2:2">
      <c r="B15797" s="3"/>
    </row>
    <row r="15798" spans="2:2">
      <c r="B15798" s="3"/>
    </row>
    <row r="15799" spans="2:2">
      <c r="B15799" s="3"/>
    </row>
    <row r="15800" spans="2:2">
      <c r="B15800" s="3"/>
    </row>
    <row r="15801" spans="2:2">
      <c r="B15801" s="3"/>
    </row>
    <row r="15802" spans="2:2">
      <c r="B15802" s="3"/>
    </row>
    <row r="15803" spans="2:2">
      <c r="B15803" s="3"/>
    </row>
    <row r="15804" spans="2:2">
      <c r="B15804" s="3"/>
    </row>
    <row r="15805" spans="2:2">
      <c r="B15805" s="3"/>
    </row>
    <row r="15806" spans="2:2">
      <c r="B15806" s="3"/>
    </row>
    <row r="15807" spans="2:2">
      <c r="B15807" s="3"/>
    </row>
    <row r="15808" spans="2:2">
      <c r="B15808" s="3"/>
    </row>
    <row r="15809" spans="2:2">
      <c r="B15809" s="3"/>
    </row>
    <row r="15810" spans="2:2">
      <c r="B15810" s="3"/>
    </row>
    <row r="15811" spans="2:2">
      <c r="B15811" s="3"/>
    </row>
    <row r="15812" spans="2:2">
      <c r="B15812" s="3"/>
    </row>
    <row r="15813" spans="2:2">
      <c r="B15813" s="3"/>
    </row>
    <row r="15814" spans="2:2">
      <c r="B15814" s="3"/>
    </row>
    <row r="15815" spans="2:2">
      <c r="B15815" s="3"/>
    </row>
    <row r="15816" spans="2:2">
      <c r="B15816" s="3"/>
    </row>
    <row r="15817" spans="2:2">
      <c r="B15817" s="3"/>
    </row>
    <row r="15818" spans="2:2">
      <c r="B15818" s="3"/>
    </row>
    <row r="15819" spans="2:2">
      <c r="B15819" s="3"/>
    </row>
    <row r="15820" spans="2:2">
      <c r="B15820" s="3"/>
    </row>
    <row r="15821" spans="2:2">
      <c r="B15821" s="3"/>
    </row>
    <row r="15822" spans="2:2">
      <c r="B15822" s="3"/>
    </row>
    <row r="15823" spans="2:2">
      <c r="B15823" s="3"/>
    </row>
    <row r="15824" spans="2:2">
      <c r="B15824" s="3"/>
    </row>
    <row r="15825" spans="2:2">
      <c r="B15825" s="3"/>
    </row>
    <row r="15826" spans="2:2">
      <c r="B15826" s="3"/>
    </row>
    <row r="15827" spans="2:2">
      <c r="B15827" s="3"/>
    </row>
    <row r="15828" spans="2:2">
      <c r="B15828" s="3"/>
    </row>
    <row r="15829" spans="2:2">
      <c r="B15829" s="3"/>
    </row>
    <row r="15830" spans="2:2">
      <c r="B15830" s="3"/>
    </row>
    <row r="15831" spans="2:2">
      <c r="B15831" s="3"/>
    </row>
    <row r="15832" spans="2:2">
      <c r="B15832" s="3"/>
    </row>
    <row r="15833" spans="2:2">
      <c r="B15833" s="3"/>
    </row>
    <row r="15834" spans="2:2">
      <c r="B15834" s="3"/>
    </row>
    <row r="15835" spans="2:2">
      <c r="B15835" s="3"/>
    </row>
    <row r="15836" spans="2:2">
      <c r="B15836" s="3"/>
    </row>
    <row r="15837" spans="2:2">
      <c r="B15837" s="3"/>
    </row>
    <row r="15838" spans="2:2">
      <c r="B15838" s="3"/>
    </row>
    <row r="15839" spans="2:2">
      <c r="B15839" s="3"/>
    </row>
    <row r="15840" spans="2:2">
      <c r="B15840" s="3"/>
    </row>
    <row r="15841" spans="2:2">
      <c r="B15841" s="3"/>
    </row>
    <row r="15842" spans="2:2">
      <c r="B15842" s="3"/>
    </row>
    <row r="15843" spans="2:2">
      <c r="B15843" s="3"/>
    </row>
    <row r="15844" spans="2:2">
      <c r="B15844" s="3"/>
    </row>
    <row r="15845" spans="2:2">
      <c r="B15845" s="3"/>
    </row>
    <row r="15846" spans="2:2">
      <c r="B15846" s="3"/>
    </row>
    <row r="15847" spans="2:2">
      <c r="B15847" s="3"/>
    </row>
    <row r="15848" spans="2:2">
      <c r="B15848" s="3"/>
    </row>
    <row r="15849" spans="2:2">
      <c r="B15849" s="3"/>
    </row>
    <row r="15850" spans="2:2">
      <c r="B15850" s="3"/>
    </row>
    <row r="15851" spans="2:2">
      <c r="B15851" s="3"/>
    </row>
    <row r="15852" spans="2:2">
      <c r="B15852" s="3"/>
    </row>
    <row r="15853" spans="2:2">
      <c r="B15853" s="3"/>
    </row>
    <row r="15854" spans="2:2">
      <c r="B15854" s="3"/>
    </row>
    <row r="15855" spans="2:2">
      <c r="B15855" s="3"/>
    </row>
    <row r="15856" spans="2:2">
      <c r="B15856" s="3"/>
    </row>
    <row r="15857" spans="2:2">
      <c r="B15857" s="3"/>
    </row>
    <row r="15858" spans="2:2">
      <c r="B15858" s="3"/>
    </row>
    <row r="15859" spans="2:2">
      <c r="B15859" s="3"/>
    </row>
    <row r="15860" spans="2:2">
      <c r="B15860" s="3"/>
    </row>
    <row r="15861" spans="2:2">
      <c r="B15861" s="3"/>
    </row>
    <row r="15862" spans="2:2">
      <c r="B15862" s="3"/>
    </row>
    <row r="15863" spans="2:2">
      <c r="B15863" s="3"/>
    </row>
    <row r="15864" spans="2:2">
      <c r="B15864" s="3"/>
    </row>
    <row r="15865" spans="2:2">
      <c r="B15865" s="3"/>
    </row>
    <row r="15866" spans="2:2">
      <c r="B15866" s="3"/>
    </row>
    <row r="15867" spans="2:2">
      <c r="B15867" s="3"/>
    </row>
    <row r="15868" spans="2:2">
      <c r="B15868" s="3"/>
    </row>
    <row r="15869" spans="2:2">
      <c r="B15869" s="3"/>
    </row>
    <row r="15870" spans="2:2">
      <c r="B15870" s="3"/>
    </row>
    <row r="15871" spans="2:2">
      <c r="B15871" s="3"/>
    </row>
    <row r="15872" spans="2:2">
      <c r="B15872" s="3"/>
    </row>
    <row r="15873" spans="2:2">
      <c r="B15873" s="3"/>
    </row>
    <row r="15874" spans="2:2">
      <c r="B15874" s="3"/>
    </row>
    <row r="15875" spans="2:2">
      <c r="B15875" s="3"/>
    </row>
    <row r="15876" spans="2:2">
      <c r="B15876" s="3"/>
    </row>
    <row r="15877" spans="2:2">
      <c r="B15877" s="3"/>
    </row>
    <row r="15878" spans="2:2">
      <c r="B15878" s="3"/>
    </row>
    <row r="15879" spans="2:2">
      <c r="B15879" s="3"/>
    </row>
    <row r="15880" spans="2:2">
      <c r="B15880" s="3"/>
    </row>
    <row r="15881" spans="2:2">
      <c r="B15881" s="3"/>
    </row>
    <row r="15882" spans="2:2">
      <c r="B15882" s="3"/>
    </row>
    <row r="15883" spans="2:2">
      <c r="B15883" s="3"/>
    </row>
    <row r="15884" spans="2:2">
      <c r="B15884" s="3"/>
    </row>
    <row r="15885" spans="2:2">
      <c r="B15885" s="3"/>
    </row>
    <row r="15886" spans="2:2">
      <c r="B15886" s="3"/>
    </row>
    <row r="15887" spans="2:2">
      <c r="B15887" s="3"/>
    </row>
    <row r="15888" spans="2:2">
      <c r="B15888" s="3"/>
    </row>
    <row r="15889" spans="2:2">
      <c r="B15889" s="3"/>
    </row>
    <row r="15890" spans="2:2">
      <c r="B15890" s="3"/>
    </row>
    <row r="15891" spans="2:2">
      <c r="B15891" s="3"/>
    </row>
    <row r="15892" spans="2:2">
      <c r="B15892" s="3"/>
    </row>
    <row r="15893" spans="2:2">
      <c r="B15893" s="3"/>
    </row>
    <row r="15894" spans="2:2">
      <c r="B15894" s="3"/>
    </row>
    <row r="15895" spans="2:2">
      <c r="B15895" s="3"/>
    </row>
    <row r="15896" spans="2:2">
      <c r="B15896" s="3"/>
    </row>
    <row r="15897" spans="2:2">
      <c r="B15897" s="3"/>
    </row>
    <row r="15898" spans="2:2">
      <c r="B15898" s="3"/>
    </row>
    <row r="15899" spans="2:2">
      <c r="B15899" s="3"/>
    </row>
    <row r="15900" spans="2:2">
      <c r="B15900" s="3"/>
    </row>
    <row r="15901" spans="2:2">
      <c r="B15901" s="3"/>
    </row>
    <row r="15902" spans="2:2">
      <c r="B15902" s="3"/>
    </row>
    <row r="15903" spans="2:2">
      <c r="B15903" s="3"/>
    </row>
    <row r="15904" spans="2:2">
      <c r="B15904" s="3"/>
    </row>
    <row r="15905" spans="2:2">
      <c r="B15905" s="3"/>
    </row>
    <row r="15906" spans="2:2">
      <c r="B15906" s="3"/>
    </row>
    <row r="15907" spans="2:2">
      <c r="B15907" s="3"/>
    </row>
    <row r="15908" spans="2:2">
      <c r="B15908" s="3"/>
    </row>
    <row r="15909" spans="2:2">
      <c r="B15909" s="3"/>
    </row>
    <row r="15910" spans="2:2">
      <c r="B15910" s="3"/>
    </row>
    <row r="15911" spans="2:2">
      <c r="B15911" s="3"/>
    </row>
    <row r="15912" spans="2:2">
      <c r="B15912" s="3"/>
    </row>
    <row r="15913" spans="2:2">
      <c r="B15913" s="3"/>
    </row>
    <row r="15914" spans="2:2">
      <c r="B15914" s="3"/>
    </row>
    <row r="15915" spans="2:2">
      <c r="B15915" s="3"/>
    </row>
    <row r="15916" spans="2:2">
      <c r="B15916" s="3"/>
    </row>
    <row r="15917" spans="2:2">
      <c r="B15917" s="3"/>
    </row>
    <row r="15918" spans="2:2">
      <c r="B15918" s="3"/>
    </row>
    <row r="15919" spans="2:2">
      <c r="B15919" s="3"/>
    </row>
    <row r="15920" spans="2:2">
      <c r="B15920" s="3"/>
    </row>
    <row r="15921" spans="2:2">
      <c r="B15921" s="3"/>
    </row>
    <row r="15922" spans="2:2">
      <c r="B15922" s="3"/>
    </row>
    <row r="15923" spans="2:2">
      <c r="B15923" s="3"/>
    </row>
    <row r="15924" spans="2:2">
      <c r="B15924" s="3"/>
    </row>
    <row r="15925" spans="2:2">
      <c r="B15925" s="3"/>
    </row>
    <row r="15926" spans="2:2">
      <c r="B15926" s="3"/>
    </row>
    <row r="15927" spans="2:2">
      <c r="B15927" s="3"/>
    </row>
    <row r="15928" spans="2:2">
      <c r="B15928" s="3"/>
    </row>
    <row r="15929" spans="2:2">
      <c r="B15929" s="3"/>
    </row>
    <row r="15930" spans="2:2">
      <c r="B15930" s="3"/>
    </row>
    <row r="15931" spans="2:2">
      <c r="B15931" s="3"/>
    </row>
    <row r="15932" spans="2:2">
      <c r="B15932" s="3"/>
    </row>
    <row r="15933" spans="2:2">
      <c r="B15933" s="3"/>
    </row>
    <row r="15934" spans="2:2">
      <c r="B15934" s="3"/>
    </row>
    <row r="15935" spans="2:2">
      <c r="B15935" s="3"/>
    </row>
    <row r="15936" spans="2:2">
      <c r="B15936" s="3"/>
    </row>
    <row r="15937" spans="2:2">
      <c r="B15937" s="3"/>
    </row>
    <row r="15938" spans="2:2">
      <c r="B15938" s="3"/>
    </row>
    <row r="15939" spans="2:2">
      <c r="B15939" s="3"/>
    </row>
    <row r="15940" spans="2:2">
      <c r="B15940" s="3"/>
    </row>
    <row r="15941" spans="2:2">
      <c r="B15941" s="3"/>
    </row>
    <row r="15942" spans="2:2">
      <c r="B15942" s="3"/>
    </row>
    <row r="15943" spans="2:2">
      <c r="B15943" s="3"/>
    </row>
    <row r="15944" spans="2:2">
      <c r="B15944" s="3"/>
    </row>
    <row r="15945" spans="2:2">
      <c r="B15945" s="3"/>
    </row>
    <row r="15946" spans="2:2">
      <c r="B15946" s="3"/>
    </row>
    <row r="15947" spans="2:2">
      <c r="B15947" s="3"/>
    </row>
    <row r="15948" spans="2:2">
      <c r="B15948" s="3"/>
    </row>
    <row r="15949" spans="2:2">
      <c r="B15949" s="3"/>
    </row>
    <row r="15950" spans="2:2">
      <c r="B15950" s="3"/>
    </row>
    <row r="15951" spans="2:2">
      <c r="B15951" s="3"/>
    </row>
    <row r="15952" spans="2:2">
      <c r="B15952" s="3"/>
    </row>
    <row r="15953" spans="2:2">
      <c r="B15953" s="3"/>
    </row>
    <row r="15954" spans="2:2">
      <c r="B15954" s="3"/>
    </row>
    <row r="15955" spans="2:2">
      <c r="B15955" s="3"/>
    </row>
    <row r="15956" spans="2:2">
      <c r="B15956" s="3"/>
    </row>
    <row r="15957" spans="2:2">
      <c r="B15957" s="3"/>
    </row>
    <row r="15958" spans="2:2">
      <c r="B15958" s="3"/>
    </row>
    <row r="15959" spans="2:2">
      <c r="B15959" s="3"/>
    </row>
    <row r="15960" spans="2:2">
      <c r="B15960" s="3"/>
    </row>
    <row r="15961" spans="2:2">
      <c r="B15961" s="3"/>
    </row>
    <row r="15962" spans="2:2">
      <c r="B15962" s="3"/>
    </row>
    <row r="15963" spans="2:2">
      <c r="B15963" s="3"/>
    </row>
    <row r="15964" spans="2:2">
      <c r="B15964" s="3"/>
    </row>
    <row r="15965" spans="2:2">
      <c r="B15965" s="3"/>
    </row>
    <row r="15966" spans="2:2">
      <c r="B15966" s="3"/>
    </row>
    <row r="15967" spans="2:2">
      <c r="B15967" s="3"/>
    </row>
    <row r="15968" spans="2:2">
      <c r="B15968" s="3"/>
    </row>
    <row r="15969" spans="2:2">
      <c r="B15969" s="3"/>
    </row>
    <row r="15970" spans="2:2">
      <c r="B15970" s="3"/>
    </row>
    <row r="15971" spans="2:2">
      <c r="B15971" s="3"/>
    </row>
    <row r="15972" spans="2:2">
      <c r="B15972" s="3"/>
    </row>
    <row r="15973" spans="2:2">
      <c r="B15973" s="3"/>
    </row>
    <row r="15974" spans="2:2">
      <c r="B15974" s="3"/>
    </row>
    <row r="15975" spans="2:2">
      <c r="B15975" s="3"/>
    </row>
    <row r="15976" spans="2:2">
      <c r="B15976" s="3"/>
    </row>
    <row r="15977" spans="2:2">
      <c r="B15977" s="3"/>
    </row>
    <row r="15978" spans="2:2">
      <c r="B15978" s="3"/>
    </row>
    <row r="15979" spans="2:2">
      <c r="B15979" s="3"/>
    </row>
    <row r="15980" spans="2:2">
      <c r="B15980" s="3"/>
    </row>
    <row r="15981" spans="2:2">
      <c r="B15981" s="3"/>
    </row>
    <row r="15982" spans="2:2">
      <c r="B15982" s="3"/>
    </row>
    <row r="15983" spans="2:2">
      <c r="B15983" s="3"/>
    </row>
    <row r="15984" spans="2:2">
      <c r="B15984" s="3"/>
    </row>
    <row r="15985" spans="2:2">
      <c r="B15985" s="3"/>
    </row>
    <row r="15986" spans="2:2">
      <c r="B15986" s="3"/>
    </row>
    <row r="15987" spans="2:2">
      <c r="B15987" s="3"/>
    </row>
    <row r="15988" spans="2:2">
      <c r="B15988" s="3"/>
    </row>
    <row r="15989" spans="2:2">
      <c r="B15989" s="3"/>
    </row>
    <row r="15990" spans="2:2">
      <c r="B15990" s="3"/>
    </row>
    <row r="15991" spans="2:2">
      <c r="B15991" s="3"/>
    </row>
    <row r="15992" spans="2:2">
      <c r="B15992" s="3"/>
    </row>
    <row r="15993" spans="2:2">
      <c r="B15993" s="3"/>
    </row>
    <row r="15994" spans="2:2">
      <c r="B15994" s="3"/>
    </row>
    <row r="15995" spans="2:2">
      <c r="B15995" s="3"/>
    </row>
    <row r="15996" spans="2:2">
      <c r="B15996" s="3"/>
    </row>
    <row r="15997" spans="2:2">
      <c r="B15997" s="3"/>
    </row>
    <row r="15998" spans="2:2">
      <c r="B15998" s="3"/>
    </row>
    <row r="15999" spans="2:2">
      <c r="B15999" s="3"/>
    </row>
    <row r="16000" spans="2:2">
      <c r="B16000" s="3"/>
    </row>
    <row r="16001" spans="2:2">
      <c r="B16001" s="3"/>
    </row>
    <row r="16002" spans="2:2">
      <c r="B16002" s="3"/>
    </row>
    <row r="16003" spans="2:2">
      <c r="B16003" s="3"/>
    </row>
    <row r="16004" spans="2:2">
      <c r="B16004" s="3"/>
    </row>
    <row r="16005" spans="2:2">
      <c r="B16005" s="3"/>
    </row>
    <row r="16006" spans="2:2">
      <c r="B16006" s="3"/>
    </row>
    <row r="16007" spans="2:2">
      <c r="B16007" s="3"/>
    </row>
    <row r="16008" spans="2:2">
      <c r="B16008" s="3"/>
    </row>
    <row r="16009" spans="2:2">
      <c r="B16009" s="3"/>
    </row>
    <row r="16010" spans="2:2">
      <c r="B16010" s="3"/>
    </row>
    <row r="16011" spans="2:2">
      <c r="B16011" s="3"/>
    </row>
    <row r="16012" spans="2:2">
      <c r="B16012" s="3"/>
    </row>
    <row r="16013" spans="2:2">
      <c r="B16013" s="3"/>
    </row>
    <row r="16014" spans="2:2">
      <c r="B16014" s="3"/>
    </row>
    <row r="16015" spans="2:2">
      <c r="B16015" s="3"/>
    </row>
    <row r="16016" spans="2:2">
      <c r="B16016" s="3"/>
    </row>
    <row r="16017" spans="2:2">
      <c r="B16017" s="3"/>
    </row>
    <row r="16018" spans="2:2">
      <c r="B16018" s="3"/>
    </row>
    <row r="16019" spans="2:2">
      <c r="B16019" s="3"/>
    </row>
    <row r="16020" spans="2:2">
      <c r="B16020" s="3"/>
    </row>
    <row r="16021" spans="2:2">
      <c r="B16021" s="3"/>
    </row>
    <row r="16022" spans="2:2">
      <c r="B16022" s="3"/>
    </row>
    <row r="16023" spans="2:2">
      <c r="B16023" s="3"/>
    </row>
    <row r="16024" spans="2:2">
      <c r="B16024" s="3"/>
    </row>
    <row r="16025" spans="2:2">
      <c r="B16025" s="3"/>
    </row>
    <row r="16026" spans="2:2">
      <c r="B16026" s="3"/>
    </row>
    <row r="16027" spans="2:2">
      <c r="B16027" s="3"/>
    </row>
    <row r="16028" spans="2:2">
      <c r="B16028" s="3"/>
    </row>
    <row r="16029" spans="2:2">
      <c r="B16029" s="3"/>
    </row>
    <row r="16030" spans="2:2">
      <c r="B16030" s="3"/>
    </row>
    <row r="16031" spans="2:2">
      <c r="B16031" s="3"/>
    </row>
    <row r="16032" spans="2:2">
      <c r="B16032" s="3"/>
    </row>
    <row r="16033" spans="2:2">
      <c r="B16033" s="3"/>
    </row>
    <row r="16034" spans="2:2">
      <c r="B16034" s="3"/>
    </row>
    <row r="16035" spans="2:2">
      <c r="B16035" s="3"/>
    </row>
    <row r="16036" spans="2:2">
      <c r="B16036" s="3"/>
    </row>
    <row r="16037" spans="2:2">
      <c r="B16037" s="3"/>
    </row>
    <row r="16038" spans="2:2">
      <c r="B16038" s="3"/>
    </row>
    <row r="16039" spans="2:2">
      <c r="B16039" s="3"/>
    </row>
    <row r="16040" spans="2:2">
      <c r="B16040" s="3"/>
    </row>
    <row r="16041" spans="2:2">
      <c r="B16041" s="3"/>
    </row>
    <row r="16042" spans="2:2">
      <c r="B16042" s="3"/>
    </row>
    <row r="16043" spans="2:2">
      <c r="B16043" s="3"/>
    </row>
    <row r="16044" spans="2:2">
      <c r="B16044" s="3"/>
    </row>
    <row r="16045" spans="2:2">
      <c r="B16045" s="3"/>
    </row>
    <row r="16046" spans="2:2">
      <c r="B16046" s="3"/>
    </row>
    <row r="16047" spans="2:2">
      <c r="B16047" s="3"/>
    </row>
    <row r="16048" spans="2:2">
      <c r="B16048" s="3"/>
    </row>
    <row r="16049" spans="2:2">
      <c r="B16049" s="3"/>
    </row>
    <row r="16050" spans="2:2">
      <c r="B16050" s="3"/>
    </row>
    <row r="16051" spans="2:2">
      <c r="B16051" s="3"/>
    </row>
    <row r="16052" spans="2:2">
      <c r="B16052" s="3"/>
    </row>
    <row r="16053" spans="2:2">
      <c r="B16053" s="3"/>
    </row>
    <row r="16054" spans="2:2">
      <c r="B16054" s="3"/>
    </row>
    <row r="16055" spans="2:2">
      <c r="B16055" s="3"/>
    </row>
    <row r="16056" spans="2:2">
      <c r="B16056" s="3"/>
    </row>
    <row r="16057" spans="2:2">
      <c r="B16057" s="3"/>
    </row>
    <row r="16058" spans="2:2">
      <c r="B16058" s="3"/>
    </row>
    <row r="16059" spans="2:2">
      <c r="B16059" s="3"/>
    </row>
    <row r="16060" spans="2:2">
      <c r="B16060" s="3"/>
    </row>
    <row r="16061" spans="2:2">
      <c r="B16061" s="3"/>
    </row>
    <row r="16062" spans="2:2">
      <c r="B16062" s="3"/>
    </row>
    <row r="16063" spans="2:2">
      <c r="B16063" s="3"/>
    </row>
    <row r="16064" spans="2:2">
      <c r="B16064" s="3"/>
    </row>
    <row r="16065" spans="2:2">
      <c r="B16065" s="3"/>
    </row>
    <row r="16066" spans="2:2">
      <c r="B16066" s="3"/>
    </row>
    <row r="16067" spans="2:2">
      <c r="B16067" s="3"/>
    </row>
    <row r="16068" spans="2:2">
      <c r="B16068" s="3"/>
    </row>
    <row r="16069" spans="2:2">
      <c r="B16069" s="3"/>
    </row>
    <row r="16070" spans="2:2">
      <c r="B16070" s="3"/>
    </row>
    <row r="16071" spans="2:2">
      <c r="B16071" s="3"/>
    </row>
    <row r="16072" spans="2:2">
      <c r="B16072" s="3"/>
    </row>
    <row r="16073" spans="2:2">
      <c r="B16073" s="3"/>
    </row>
    <row r="16074" spans="2:2">
      <c r="B16074" s="3"/>
    </row>
    <row r="16075" spans="2:2">
      <c r="B16075" s="3"/>
    </row>
    <row r="16076" spans="2:2">
      <c r="B16076" s="3"/>
    </row>
    <row r="16077" spans="2:2">
      <c r="B16077" s="3"/>
    </row>
    <row r="16078" spans="2:2">
      <c r="B16078" s="3"/>
    </row>
    <row r="16079" spans="2:2">
      <c r="B16079" s="3"/>
    </row>
    <row r="16080" spans="2:2">
      <c r="B16080" s="3"/>
    </row>
    <row r="16081" spans="2:2">
      <c r="B16081" s="3"/>
    </row>
    <row r="16082" spans="2:2">
      <c r="B16082" s="3"/>
    </row>
    <row r="16083" spans="2:2">
      <c r="B16083" s="3"/>
    </row>
    <row r="16084" spans="2:2">
      <c r="B16084" s="3"/>
    </row>
    <row r="16085" spans="2:2">
      <c r="B16085" s="3"/>
    </row>
    <row r="16086" spans="2:2">
      <c r="B16086" s="3"/>
    </row>
    <row r="16087" spans="2:2">
      <c r="B16087" s="3"/>
    </row>
    <row r="16088" spans="2:2">
      <c r="B16088" s="3"/>
    </row>
    <row r="16089" spans="2:2">
      <c r="B16089" s="3"/>
    </row>
    <row r="16090" spans="2:2">
      <c r="B16090" s="3"/>
    </row>
    <row r="16091" spans="2:2">
      <c r="B16091" s="3"/>
    </row>
    <row r="16092" spans="2:2">
      <c r="B16092" s="3"/>
    </row>
    <row r="16093" spans="2:2">
      <c r="B16093" s="3"/>
    </row>
    <row r="16094" spans="2:2">
      <c r="B16094" s="3"/>
    </row>
    <row r="16095" spans="2:2">
      <c r="B16095" s="3"/>
    </row>
    <row r="16096" spans="2:2">
      <c r="B16096" s="3"/>
    </row>
    <row r="16097" spans="2:2">
      <c r="B16097" s="3"/>
    </row>
    <row r="16098" spans="2:2">
      <c r="B16098" s="3"/>
    </row>
    <row r="16099" spans="2:2">
      <c r="B16099" s="3"/>
    </row>
    <row r="16100" spans="2:2">
      <c r="B16100" s="3"/>
    </row>
    <row r="16101" spans="2:2">
      <c r="B16101" s="3"/>
    </row>
    <row r="16102" spans="2:2">
      <c r="B16102" s="3"/>
    </row>
    <row r="16103" spans="2:2">
      <c r="B16103" s="3"/>
    </row>
    <row r="16104" spans="2:2">
      <c r="B16104" s="3"/>
    </row>
    <row r="16105" spans="2:2">
      <c r="B16105" s="3"/>
    </row>
    <row r="16106" spans="2:2">
      <c r="B16106" s="3"/>
    </row>
    <row r="16107" spans="2:2">
      <c r="B16107" s="3"/>
    </row>
    <row r="16108" spans="2:2">
      <c r="B16108" s="3"/>
    </row>
    <row r="16109" spans="2:2">
      <c r="B16109" s="3"/>
    </row>
    <row r="16110" spans="2:2">
      <c r="B16110" s="3"/>
    </row>
    <row r="16111" spans="2:2">
      <c r="B16111" s="3"/>
    </row>
    <row r="16112" spans="2:2">
      <c r="B16112" s="3"/>
    </row>
    <row r="16113" spans="2:2">
      <c r="B16113" s="3"/>
    </row>
    <row r="16114" spans="2:2">
      <c r="B16114" s="3"/>
    </row>
    <row r="16115" spans="2:2">
      <c r="B16115" s="3"/>
    </row>
    <row r="16116" spans="2:2">
      <c r="B16116" s="3"/>
    </row>
    <row r="16117" spans="2:2">
      <c r="B16117" s="3"/>
    </row>
    <row r="16118" spans="2:2">
      <c r="B16118" s="3"/>
    </row>
    <row r="16119" spans="2:2">
      <c r="B16119" s="3"/>
    </row>
    <row r="16120" spans="2:2">
      <c r="B16120" s="3"/>
    </row>
    <row r="16121" spans="2:2">
      <c r="B16121" s="3"/>
    </row>
    <row r="16122" spans="2:2">
      <c r="B16122" s="3"/>
    </row>
    <row r="16123" spans="2:2">
      <c r="B16123" s="3"/>
    </row>
    <row r="16124" spans="2:2">
      <c r="B16124" s="3"/>
    </row>
    <row r="16125" spans="2:2">
      <c r="B16125" s="3"/>
    </row>
    <row r="16126" spans="2:2">
      <c r="B16126" s="3"/>
    </row>
    <row r="16127" spans="2:2">
      <c r="B16127" s="3"/>
    </row>
    <row r="16128" spans="2:2">
      <c r="B16128" s="3"/>
    </row>
    <row r="16129" spans="2:2">
      <c r="B16129" s="3"/>
    </row>
    <row r="16130" spans="2:2">
      <c r="B16130" s="3"/>
    </row>
    <row r="16131" spans="2:2">
      <c r="B16131" s="3"/>
    </row>
    <row r="16132" spans="2:2">
      <c r="B16132" s="3"/>
    </row>
    <row r="16133" spans="2:2">
      <c r="B16133" s="3"/>
    </row>
    <row r="16134" spans="2:2">
      <c r="B16134" s="3"/>
    </row>
    <row r="16135" spans="2:2">
      <c r="B16135" s="3"/>
    </row>
    <row r="16136" spans="2:2">
      <c r="B16136" s="3"/>
    </row>
    <row r="16137" spans="2:2">
      <c r="B16137" s="3"/>
    </row>
    <row r="16138" spans="2:2">
      <c r="B16138" s="3"/>
    </row>
    <row r="16139" spans="2:2">
      <c r="B16139" s="3"/>
    </row>
    <row r="16140" spans="2:2">
      <c r="B16140" s="3"/>
    </row>
    <row r="16141" spans="2:2">
      <c r="B16141" s="3"/>
    </row>
    <row r="16142" spans="2:2">
      <c r="B16142" s="3"/>
    </row>
    <row r="16143" spans="2:2">
      <c r="B16143" s="3"/>
    </row>
    <row r="16144" spans="2:2">
      <c r="B16144" s="3"/>
    </row>
    <row r="16145" spans="2:2">
      <c r="B16145" s="3"/>
    </row>
    <row r="16146" spans="2:2">
      <c r="B16146" s="3"/>
    </row>
    <row r="16147" spans="2:2">
      <c r="B16147" s="3"/>
    </row>
    <row r="16148" spans="2:2">
      <c r="B16148" s="3"/>
    </row>
    <row r="16149" spans="2:2">
      <c r="B16149" s="3"/>
    </row>
    <row r="16150" spans="2:2">
      <c r="B16150" s="3"/>
    </row>
    <row r="16151" spans="2:2">
      <c r="B16151" s="3"/>
    </row>
    <row r="16152" spans="2:2">
      <c r="B16152" s="3"/>
    </row>
    <row r="16153" spans="2:2">
      <c r="B16153" s="3"/>
    </row>
    <row r="16154" spans="2:2">
      <c r="B16154" s="3"/>
    </row>
    <row r="16155" spans="2:2">
      <c r="B16155" s="3"/>
    </row>
    <row r="16156" spans="2:2">
      <c r="B16156" s="3"/>
    </row>
    <row r="16157" spans="2:2">
      <c r="B16157" s="3"/>
    </row>
    <row r="16158" spans="2:2">
      <c r="B16158" s="3"/>
    </row>
    <row r="16159" spans="2:2">
      <c r="B16159" s="3"/>
    </row>
    <row r="16160" spans="2:2">
      <c r="B16160" s="3"/>
    </row>
    <row r="16161" spans="2:2">
      <c r="B16161" s="3"/>
    </row>
    <row r="16162" spans="2:2">
      <c r="B16162" s="3"/>
    </row>
    <row r="16163" spans="2:2">
      <c r="B16163" s="3"/>
    </row>
    <row r="16164" spans="2:2">
      <c r="B16164" s="3"/>
    </row>
    <row r="16165" spans="2:2">
      <c r="B16165" s="3"/>
    </row>
    <row r="16166" spans="2:2">
      <c r="B16166" s="3"/>
    </row>
    <row r="16167" spans="2:2">
      <c r="B16167" s="3"/>
    </row>
    <row r="16168" spans="2:2">
      <c r="B16168" s="3"/>
    </row>
    <row r="16169" spans="2:2">
      <c r="B16169" s="3"/>
    </row>
    <row r="16170" spans="2:2">
      <c r="B16170" s="3"/>
    </row>
    <row r="16171" spans="2:2">
      <c r="B16171" s="3"/>
    </row>
    <row r="16172" spans="2:2">
      <c r="B16172" s="3"/>
    </row>
    <row r="16173" spans="2:2">
      <c r="B16173" s="3"/>
    </row>
    <row r="16174" spans="2:2">
      <c r="B16174" s="3"/>
    </row>
    <row r="16175" spans="2:2">
      <c r="B16175" s="3"/>
    </row>
    <row r="16176" spans="2:2">
      <c r="B16176" s="3"/>
    </row>
    <row r="16177" spans="2:2">
      <c r="B16177" s="3"/>
    </row>
    <row r="16178" spans="2:2">
      <c r="B16178" s="3"/>
    </row>
    <row r="16179" spans="2:2">
      <c r="B16179" s="3"/>
    </row>
    <row r="16180" spans="2:2">
      <c r="B16180" s="3"/>
    </row>
    <row r="16181" spans="2:2">
      <c r="B16181" s="3"/>
    </row>
    <row r="16182" spans="2:2">
      <c r="B16182" s="3"/>
    </row>
    <row r="16183" spans="2:2">
      <c r="B16183" s="3"/>
    </row>
    <row r="16184" spans="2:2">
      <c r="B16184" s="3"/>
    </row>
    <row r="16185" spans="2:2">
      <c r="B16185" s="3"/>
    </row>
    <row r="16186" spans="2:2">
      <c r="B16186" s="3"/>
    </row>
    <row r="16187" spans="2:2">
      <c r="B16187" s="3"/>
    </row>
    <row r="16188" spans="2:2">
      <c r="B16188" s="3"/>
    </row>
    <row r="16189" spans="2:2">
      <c r="B16189" s="3"/>
    </row>
    <row r="16190" spans="2:2">
      <c r="B16190" s="3"/>
    </row>
    <row r="16191" spans="2:2">
      <c r="B16191" s="3"/>
    </row>
    <row r="16192" spans="2:2">
      <c r="B16192" s="3"/>
    </row>
    <row r="16193" spans="2:2">
      <c r="B16193" s="3"/>
    </row>
    <row r="16194" spans="2:2">
      <c r="B16194" s="3"/>
    </row>
    <row r="16195" spans="2:2">
      <c r="B16195" s="3"/>
    </row>
    <row r="16196" spans="2:2">
      <c r="B16196" s="3"/>
    </row>
    <row r="16197" spans="2:2">
      <c r="B16197" s="3"/>
    </row>
    <row r="16198" spans="2:2">
      <c r="B16198" s="3"/>
    </row>
    <row r="16199" spans="2:2">
      <c r="B16199" s="3"/>
    </row>
    <row r="16200" spans="2:2">
      <c r="B16200" s="3"/>
    </row>
    <row r="16201" spans="2:2">
      <c r="B16201" s="3"/>
    </row>
    <row r="16202" spans="2:2">
      <c r="B16202" s="3"/>
    </row>
    <row r="16203" spans="2:2">
      <c r="B16203" s="3"/>
    </row>
    <row r="16204" spans="2:2">
      <c r="B16204" s="3"/>
    </row>
    <row r="16205" spans="2:2">
      <c r="B16205" s="3"/>
    </row>
    <row r="16206" spans="2:2">
      <c r="B16206" s="3"/>
    </row>
    <row r="16207" spans="2:2">
      <c r="B16207" s="3"/>
    </row>
    <row r="16208" spans="2:2">
      <c r="B16208" s="3"/>
    </row>
    <row r="16209" spans="2:2">
      <c r="B16209" s="3"/>
    </row>
    <row r="16210" spans="2:2">
      <c r="B16210" s="3"/>
    </row>
    <row r="16211" spans="2:2">
      <c r="B16211" s="3"/>
    </row>
    <row r="16212" spans="2:2">
      <c r="B16212" s="3"/>
    </row>
    <row r="16213" spans="2:2">
      <c r="B16213" s="3"/>
    </row>
    <row r="16214" spans="2:2">
      <c r="B16214" s="3"/>
    </row>
    <row r="16215" spans="2:2">
      <c r="B16215" s="3"/>
    </row>
    <row r="16216" spans="2:2">
      <c r="B16216" s="3"/>
    </row>
    <row r="16217" spans="2:2">
      <c r="B16217" s="3"/>
    </row>
    <row r="16218" spans="2:2">
      <c r="B16218" s="3"/>
    </row>
    <row r="16219" spans="2:2">
      <c r="B16219" s="3"/>
    </row>
    <row r="16220" spans="2:2">
      <c r="B16220" s="3"/>
    </row>
    <row r="16221" spans="2:2">
      <c r="B16221" s="3"/>
    </row>
    <row r="16222" spans="2:2">
      <c r="B16222" s="3"/>
    </row>
    <row r="16223" spans="2:2">
      <c r="B16223" s="3"/>
    </row>
    <row r="16224" spans="2:2">
      <c r="B16224" s="3"/>
    </row>
    <row r="16225" spans="2:2">
      <c r="B16225" s="3"/>
    </row>
    <row r="16226" spans="2:2">
      <c r="B16226" s="3"/>
    </row>
    <row r="16227" spans="2:2">
      <c r="B16227" s="3"/>
    </row>
    <row r="16228" spans="2:2">
      <c r="B16228" s="3"/>
    </row>
    <row r="16229" spans="2:2">
      <c r="B16229" s="3"/>
    </row>
    <row r="16230" spans="2:2">
      <c r="B16230" s="3"/>
    </row>
    <row r="16231" spans="2:2">
      <c r="B16231" s="3"/>
    </row>
    <row r="16232" spans="2:2">
      <c r="B16232" s="3"/>
    </row>
    <row r="16233" spans="2:2">
      <c r="B16233" s="3"/>
    </row>
    <row r="16234" spans="2:2">
      <c r="B16234" s="3"/>
    </row>
    <row r="16235" spans="2:2">
      <c r="B16235" s="3"/>
    </row>
    <row r="16236" spans="2:2">
      <c r="B16236" s="3"/>
    </row>
    <row r="16237" spans="2:2">
      <c r="B16237" s="3"/>
    </row>
    <row r="16238" spans="2:2">
      <c r="B16238" s="3"/>
    </row>
    <row r="16239" spans="2:2">
      <c r="B16239" s="3"/>
    </row>
    <row r="16240" spans="2:2">
      <c r="B16240" s="3"/>
    </row>
    <row r="16241" spans="2:2">
      <c r="B16241" s="3"/>
    </row>
    <row r="16242" spans="2:2">
      <c r="B16242" s="3"/>
    </row>
    <row r="16243" spans="2:2">
      <c r="B16243" s="3"/>
    </row>
    <row r="16244" spans="2:2">
      <c r="B16244" s="3"/>
    </row>
    <row r="16245" spans="2:2">
      <c r="B16245" s="3"/>
    </row>
    <row r="16246" spans="2:2">
      <c r="B16246" s="3"/>
    </row>
    <row r="16247" spans="2:2">
      <c r="B16247" s="3"/>
    </row>
    <row r="16248" spans="2:2">
      <c r="B16248" s="3"/>
    </row>
    <row r="16249" spans="2:2">
      <c r="B16249" s="3"/>
    </row>
    <row r="16250" spans="2:2">
      <c r="B16250" s="3"/>
    </row>
    <row r="16251" spans="2:2">
      <c r="B16251" s="3"/>
    </row>
    <row r="16252" spans="2:2">
      <c r="B16252" s="3"/>
    </row>
    <row r="16253" spans="2:2">
      <c r="B16253" s="3"/>
    </row>
    <row r="16254" spans="2:2">
      <c r="B16254" s="3"/>
    </row>
    <row r="16255" spans="2:2">
      <c r="B16255" s="3"/>
    </row>
    <row r="16256" spans="2:2">
      <c r="B16256" s="3"/>
    </row>
    <row r="16257" spans="2:2">
      <c r="B16257" s="3"/>
    </row>
    <row r="16258" spans="2:2">
      <c r="B16258" s="3"/>
    </row>
    <row r="16259" spans="2:2">
      <c r="B16259" s="3"/>
    </row>
    <row r="16260" spans="2:2">
      <c r="B16260" s="3"/>
    </row>
    <row r="16261" spans="2:2">
      <c r="B16261" s="3"/>
    </row>
    <row r="16262" spans="2:2">
      <c r="B16262" s="3"/>
    </row>
    <row r="16263" spans="2:2">
      <c r="B16263" s="3"/>
    </row>
    <row r="16264" spans="2:2">
      <c r="B16264" s="3"/>
    </row>
    <row r="16265" spans="2:2">
      <c r="B16265" s="3"/>
    </row>
    <row r="16266" spans="2:2">
      <c r="B16266" s="3"/>
    </row>
    <row r="16267" spans="2:2">
      <c r="B16267" s="3"/>
    </row>
    <row r="16268" spans="2:2">
      <c r="B16268" s="3"/>
    </row>
    <row r="16269" spans="2:2">
      <c r="B16269" s="3"/>
    </row>
    <row r="16270" spans="2:2">
      <c r="B16270" s="3"/>
    </row>
    <row r="16271" spans="2:2">
      <c r="B16271" s="3"/>
    </row>
    <row r="16272" spans="2:2">
      <c r="B16272" s="3"/>
    </row>
    <row r="16273" spans="2:2">
      <c r="B16273" s="3"/>
    </row>
    <row r="16274" spans="2:2">
      <c r="B16274" s="3"/>
    </row>
    <row r="16275" spans="2:2">
      <c r="B16275" s="3"/>
    </row>
    <row r="16276" spans="2:2">
      <c r="B16276" s="3"/>
    </row>
    <row r="16277" spans="2:2">
      <c r="B16277" s="3"/>
    </row>
    <row r="16278" spans="2:2">
      <c r="B16278" s="3"/>
    </row>
    <row r="16279" spans="2:2">
      <c r="B16279" s="3"/>
    </row>
    <row r="16280" spans="2:2">
      <c r="B16280" s="3"/>
    </row>
    <row r="16281" spans="2:2">
      <c r="B16281" s="3"/>
    </row>
    <row r="16282" spans="2:2">
      <c r="B16282" s="3"/>
    </row>
    <row r="16283" spans="2:2">
      <c r="B16283" s="3"/>
    </row>
    <row r="16284" spans="2:2">
      <c r="B16284" s="3"/>
    </row>
    <row r="16285" spans="2:2">
      <c r="B16285" s="3"/>
    </row>
    <row r="16286" spans="2:2">
      <c r="B16286" s="3"/>
    </row>
    <row r="16287" spans="2:2">
      <c r="B16287" s="3"/>
    </row>
    <row r="16288" spans="2:2">
      <c r="B16288" s="3"/>
    </row>
    <row r="16289" spans="2:2">
      <c r="B16289" s="3"/>
    </row>
    <row r="16290" spans="2:2">
      <c r="B16290" s="3"/>
    </row>
    <row r="16291" spans="2:2">
      <c r="B16291" s="3"/>
    </row>
    <row r="16292" spans="2:2">
      <c r="B16292" s="3"/>
    </row>
    <row r="16293" spans="2:2">
      <c r="B16293" s="3"/>
    </row>
    <row r="16294" spans="2:2">
      <c r="B16294" s="3"/>
    </row>
    <row r="16295" spans="2:2">
      <c r="B16295" s="3"/>
    </row>
    <row r="16296" spans="2:2">
      <c r="B16296" s="3"/>
    </row>
    <row r="16297" spans="2:2">
      <c r="B16297" s="3"/>
    </row>
    <row r="16298" spans="2:2">
      <c r="B16298" s="3"/>
    </row>
    <row r="16299" spans="2:2">
      <c r="B16299" s="3"/>
    </row>
    <row r="16300" spans="2:2">
      <c r="B16300" s="3"/>
    </row>
    <row r="16301" spans="2:2">
      <c r="B16301" s="3"/>
    </row>
    <row r="16302" spans="2:2">
      <c r="B16302" s="3"/>
    </row>
    <row r="16303" spans="2:2">
      <c r="B16303" s="3"/>
    </row>
    <row r="16304" spans="2:2">
      <c r="B16304" s="3"/>
    </row>
    <row r="16305" spans="2:2">
      <c r="B16305" s="3"/>
    </row>
    <row r="16306" spans="2:2">
      <c r="B16306" s="3"/>
    </row>
    <row r="16307" spans="2:2">
      <c r="B16307" s="3"/>
    </row>
    <row r="16308" spans="2:2">
      <c r="B16308" s="3"/>
    </row>
    <row r="16309" spans="2:2">
      <c r="B16309" s="3"/>
    </row>
    <row r="16310" spans="2:2">
      <c r="B16310" s="3"/>
    </row>
    <row r="16311" spans="2:2">
      <c r="B16311" s="3"/>
    </row>
    <row r="16312" spans="2:2">
      <c r="B16312" s="3"/>
    </row>
    <row r="16313" spans="2:2">
      <c r="B16313" s="3"/>
    </row>
    <row r="16314" spans="2:2">
      <c r="B16314" s="3"/>
    </row>
    <row r="16315" spans="2:2">
      <c r="B16315" s="3"/>
    </row>
    <row r="16316" spans="2:2">
      <c r="B16316" s="3"/>
    </row>
    <row r="16317" spans="2:2">
      <c r="B16317" s="3"/>
    </row>
    <row r="16318" spans="2:2">
      <c r="B16318" s="3"/>
    </row>
    <row r="16319" spans="2:2">
      <c r="B16319" s="3"/>
    </row>
    <row r="16320" spans="2:2">
      <c r="B16320" s="3"/>
    </row>
    <row r="16321" spans="2:2">
      <c r="B16321" s="3"/>
    </row>
    <row r="16322" spans="2:2">
      <c r="B16322" s="3"/>
    </row>
    <row r="16323" spans="2:2">
      <c r="B16323" s="3"/>
    </row>
    <row r="16324" spans="2:2">
      <c r="B16324" s="3"/>
    </row>
    <row r="16325" spans="2:2">
      <c r="B16325" s="3"/>
    </row>
    <row r="16326" spans="2:2">
      <c r="B16326" s="3"/>
    </row>
    <row r="16327" spans="2:2">
      <c r="B16327" s="3"/>
    </row>
    <row r="16328" spans="2:2">
      <c r="B16328" s="3"/>
    </row>
    <row r="16329" spans="2:2">
      <c r="B16329" s="3"/>
    </row>
    <row r="16330" spans="2:2">
      <c r="B16330" s="3"/>
    </row>
    <row r="16331" spans="2:2">
      <c r="B16331" s="3"/>
    </row>
    <row r="16332" spans="2:2">
      <c r="B16332" s="3"/>
    </row>
    <row r="16333" spans="2:2">
      <c r="B16333" s="3"/>
    </row>
    <row r="16334" spans="2:2">
      <c r="B16334" s="3"/>
    </row>
    <row r="16335" spans="2:2">
      <c r="B16335" s="3"/>
    </row>
    <row r="16336" spans="2:2">
      <c r="B16336" s="3"/>
    </row>
    <row r="16337" spans="2:2">
      <c r="B16337" s="3"/>
    </row>
    <row r="16338" spans="2:2">
      <c r="B16338" s="3"/>
    </row>
    <row r="16339" spans="2:2">
      <c r="B16339" s="3"/>
    </row>
    <row r="16340" spans="2:2">
      <c r="B16340" s="3"/>
    </row>
    <row r="16341" spans="2:2">
      <c r="B16341" s="3"/>
    </row>
    <row r="16342" spans="2:2">
      <c r="B16342" s="3"/>
    </row>
    <row r="16343" spans="2:2">
      <c r="B16343" s="3"/>
    </row>
    <row r="16344" spans="2:2">
      <c r="B16344" s="3"/>
    </row>
    <row r="16345" spans="2:2">
      <c r="B16345" s="3"/>
    </row>
    <row r="16346" spans="2:2">
      <c r="B16346" s="3"/>
    </row>
    <row r="16347" spans="2:2">
      <c r="B16347" s="3"/>
    </row>
    <row r="16348" spans="2:2">
      <c r="B16348" s="3"/>
    </row>
    <row r="16349" spans="2:2">
      <c r="B16349" s="3"/>
    </row>
    <row r="16350" spans="2:2">
      <c r="B16350" s="3"/>
    </row>
    <row r="16351" spans="2:2">
      <c r="B16351" s="3"/>
    </row>
    <row r="16352" spans="2:2">
      <c r="B16352" s="3"/>
    </row>
    <row r="16353" spans="2:2">
      <c r="B16353" s="3"/>
    </row>
    <row r="16354" spans="2:2">
      <c r="B16354" s="3"/>
    </row>
    <row r="16355" spans="2:2">
      <c r="B16355" s="3"/>
    </row>
    <row r="16356" spans="2:2">
      <c r="B16356" s="3"/>
    </row>
    <row r="16357" spans="2:2">
      <c r="B16357" s="3"/>
    </row>
    <row r="16358" spans="2:2">
      <c r="B16358" s="3"/>
    </row>
    <row r="16359" spans="2:2">
      <c r="B16359" s="3"/>
    </row>
    <row r="16360" spans="2:2">
      <c r="B16360" s="3"/>
    </row>
    <row r="16361" spans="2:2">
      <c r="B16361" s="3"/>
    </row>
    <row r="16362" spans="2:2">
      <c r="B16362" s="3"/>
    </row>
    <row r="16363" spans="2:2">
      <c r="B16363" s="3"/>
    </row>
    <row r="16364" spans="2:2">
      <c r="B16364" s="3"/>
    </row>
    <row r="16365" spans="2:2">
      <c r="B16365" s="3"/>
    </row>
    <row r="16366" spans="2:2">
      <c r="B16366" s="3"/>
    </row>
    <row r="16367" spans="2:2">
      <c r="B16367" s="3"/>
    </row>
    <row r="16368" spans="2:2">
      <c r="B16368" s="3"/>
    </row>
    <row r="16369" spans="2:2">
      <c r="B16369" s="3"/>
    </row>
    <row r="16370" spans="2:2">
      <c r="B16370" s="3"/>
    </row>
    <row r="16371" spans="2:2">
      <c r="B16371" s="3"/>
    </row>
    <row r="16372" spans="2:2">
      <c r="B16372" s="3"/>
    </row>
    <row r="16373" spans="2:2">
      <c r="B16373" s="3"/>
    </row>
    <row r="16374" spans="2:2">
      <c r="B16374" s="3"/>
    </row>
    <row r="16375" spans="2:2">
      <c r="B16375" s="3"/>
    </row>
    <row r="16376" spans="2:2">
      <c r="B16376" s="3"/>
    </row>
    <row r="16377" spans="2:2">
      <c r="B16377" s="3"/>
    </row>
    <row r="16378" spans="2:2">
      <c r="B16378" s="3"/>
    </row>
    <row r="16379" spans="2:2">
      <c r="B16379" s="3"/>
    </row>
    <row r="16380" spans="2:2">
      <c r="B16380" s="3"/>
    </row>
    <row r="16381" spans="2:2">
      <c r="B16381" s="3"/>
    </row>
    <row r="16382" spans="2:2">
      <c r="B16382" s="3"/>
    </row>
    <row r="16383" spans="2:2">
      <c r="B16383" s="3"/>
    </row>
    <row r="16384" spans="2:2">
      <c r="B16384" s="3"/>
    </row>
    <row r="16385" spans="2:2">
      <c r="B16385" s="3"/>
    </row>
    <row r="16386" spans="2:2">
      <c r="B16386" s="3"/>
    </row>
    <row r="16387" spans="2:2">
      <c r="B16387" s="3"/>
    </row>
  </sheetData>
  <mergeCells count="35">
    <mergeCell ref="C133:Q136"/>
    <mergeCell ref="C137:Q139"/>
    <mergeCell ref="B15:B16"/>
    <mergeCell ref="B18:R20"/>
    <mergeCell ref="B26:B27"/>
    <mergeCell ref="C22:R24"/>
    <mergeCell ref="C26:R28"/>
    <mergeCell ref="C30:R30"/>
    <mergeCell ref="C32:R32"/>
    <mergeCell ref="C41:Q43"/>
    <mergeCell ref="C38:Q38"/>
    <mergeCell ref="C53:Q53"/>
    <mergeCell ref="C45:Q46"/>
    <mergeCell ref="C49:Q50"/>
    <mergeCell ref="C77:Q79"/>
    <mergeCell ref="C129:Q130"/>
    <mergeCell ref="B2:M3"/>
    <mergeCell ref="B6:M6"/>
    <mergeCell ref="B7:N7"/>
    <mergeCell ref="B9:M9"/>
    <mergeCell ref="B11:C12"/>
    <mergeCell ref="C57:Q57"/>
    <mergeCell ref="C61:Q62"/>
    <mergeCell ref="C73:P74"/>
    <mergeCell ref="C121:P122"/>
    <mergeCell ref="C125:Q126"/>
    <mergeCell ref="C109:Q110"/>
    <mergeCell ref="C85:P86"/>
    <mergeCell ref="C65:P67"/>
    <mergeCell ref="C69:Q71"/>
    <mergeCell ref="C89:Q91"/>
    <mergeCell ref="C93:Q94"/>
    <mergeCell ref="C97:P99"/>
    <mergeCell ref="C101:Q103"/>
    <mergeCell ref="C105:Q10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00"/>
  </sheetPr>
  <dimension ref="A4:U38"/>
  <sheetViews>
    <sheetView showGridLines="0" topLeftCell="G1" zoomScale="70" zoomScaleNormal="70" workbookViewId="0">
      <selection activeCell="I5" sqref="I5"/>
    </sheetView>
  </sheetViews>
  <sheetFormatPr defaultColWidth="11.5" defaultRowHeight="15.75"/>
  <cols>
    <col min="1" max="1" width="4.5" style="222" customWidth="1"/>
    <col min="2" max="2" width="58.875" style="222" bestFit="1" customWidth="1"/>
    <col min="3" max="3" width="20.375" style="222" customWidth="1"/>
    <col min="4" max="4" width="46.5" style="222" bestFit="1" customWidth="1"/>
    <col min="5" max="5" width="66.625" style="222" bestFit="1" customWidth="1"/>
    <col min="6" max="6" width="44.625" style="222" bestFit="1" customWidth="1"/>
    <col min="7" max="7" width="42.375" style="222" bestFit="1" customWidth="1"/>
    <col min="8" max="8" width="42" style="222" bestFit="1" customWidth="1"/>
    <col min="9" max="16384" width="11.5" style="222"/>
  </cols>
  <sheetData>
    <row r="4" spans="1:14">
      <c r="H4" s="223"/>
      <c r="I4" s="223"/>
      <c r="J4" s="223"/>
      <c r="K4" s="223"/>
      <c r="L4" s="223"/>
      <c r="M4" s="223"/>
      <c r="N4" s="223"/>
    </row>
    <row r="5" spans="1:14" ht="28.5">
      <c r="B5" s="224" t="s">
        <v>2707</v>
      </c>
      <c r="C5" s="223"/>
      <c r="D5" s="223"/>
      <c r="F5" s="223"/>
      <c r="G5" s="223"/>
      <c r="I5" s="223"/>
      <c r="K5" s="223"/>
      <c r="L5" s="223"/>
      <c r="M5" s="464" t="s">
        <v>2708</v>
      </c>
    </row>
    <row r="7" spans="1:14">
      <c r="B7" s="225" t="s">
        <v>2709</v>
      </c>
      <c r="C7" s="226" t="s">
        <v>2710</v>
      </c>
      <c r="D7" s="227" t="s">
        <v>2711</v>
      </c>
      <c r="E7" s="227" t="s">
        <v>2712</v>
      </c>
      <c r="F7" s="227" t="s">
        <v>2713</v>
      </c>
      <c r="G7" s="227" t="s">
        <v>2714</v>
      </c>
      <c r="H7" s="227" t="s">
        <v>2715</v>
      </c>
    </row>
    <row r="8" spans="1:14">
      <c r="B8" s="229" t="s">
        <v>1837</v>
      </c>
      <c r="C8" s="222">
        <f>VLOOKUP(B8,'AGGREGATES by group'!B:F,5,0)</f>
        <v>42.614541118575751</v>
      </c>
      <c r="D8" s="222">
        <v>7.600527177</v>
      </c>
      <c r="E8" s="222">
        <v>2.7137008013227693</v>
      </c>
      <c r="F8" s="222">
        <v>32.634900479426364</v>
      </c>
      <c r="G8" s="64">
        <v>0</v>
      </c>
      <c r="H8" s="222">
        <v>0</v>
      </c>
    </row>
    <row r="9" spans="1:14">
      <c r="B9" s="229" t="s">
        <v>2178</v>
      </c>
      <c r="C9" s="222">
        <f>VLOOKUP(B9,'AGGREGATES by group'!B:F,5,0)</f>
        <v>27.69913524430978</v>
      </c>
      <c r="D9" s="222">
        <v>6.328027005</v>
      </c>
      <c r="E9" s="222">
        <v>6.4651223956697281</v>
      </c>
      <c r="F9" s="222">
        <v>3.1229477824977527</v>
      </c>
      <c r="G9" s="64">
        <v>11.264998690000001</v>
      </c>
      <c r="H9" s="222">
        <f t="shared" ref="H9:H10" si="0">C9-D9-E9-F9-G9</f>
        <v>0.51803937114229903</v>
      </c>
    </row>
    <row r="10" spans="1:14">
      <c r="B10" s="440" t="s">
        <v>2716</v>
      </c>
      <c r="C10" s="231">
        <f>VLOOKUP("Other donor countries",'AGGREGATES by group'!B:F,5,0)+VLOOKUP("Anglosaxon countries", 'AGGREGATES by group'!B:F,5,0)-VLOOKUP('Figure 1 Western Countries'!B8,'AGGREGATES by group'!B:F,5,0)</f>
        <v>10.423404176631436</v>
      </c>
      <c r="D10" s="232">
        <v>0.99083786200000001</v>
      </c>
      <c r="E10" s="232">
        <v>3.3287889627241345</v>
      </c>
      <c r="F10" s="231">
        <v>3.3811744202264995</v>
      </c>
      <c r="G10" s="646">
        <v>0.77460155100000005</v>
      </c>
      <c r="H10" s="232">
        <f t="shared" si="0"/>
        <v>1.948001380680803</v>
      </c>
    </row>
    <row r="11" spans="1:14">
      <c r="A11" s="229"/>
    </row>
    <row r="12" spans="1:14">
      <c r="B12" s="229"/>
    </row>
    <row r="13" spans="1:14">
      <c r="B13" s="405" t="s">
        <v>2717</v>
      </c>
      <c r="C13" s="406">
        <f>SUM(C8:C10)</f>
        <v>80.737080539516967</v>
      </c>
      <c r="D13" s="406">
        <f t="shared" ref="D13:H13" si="1">SUM(D8:D10)</f>
        <v>14.919392043999999</v>
      </c>
      <c r="E13" s="406">
        <f t="shared" si="1"/>
        <v>12.507612159716631</v>
      </c>
      <c r="F13" s="406">
        <f t="shared" si="1"/>
        <v>39.139022682150618</v>
      </c>
      <c r="G13" s="645">
        <f t="shared" si="1"/>
        <v>12.039600241</v>
      </c>
      <c r="H13" s="645">
        <f t="shared" si="1"/>
        <v>2.466040751823102</v>
      </c>
    </row>
    <row r="14" spans="1:14">
      <c r="B14" s="234"/>
    </row>
    <row r="15" spans="1:14">
      <c r="B15" s="229" t="s">
        <v>2718</v>
      </c>
    </row>
    <row r="16" spans="1:14">
      <c r="B16" s="229"/>
    </row>
    <row r="17" spans="2:7">
      <c r="B17" s="229"/>
    </row>
    <row r="18" spans="2:7">
      <c r="B18" s="240"/>
      <c r="C18" s="451"/>
      <c r="D18" s="451"/>
      <c r="E18" s="451"/>
      <c r="F18" s="451"/>
      <c r="G18" s="451"/>
    </row>
    <row r="19" spans="2:7">
      <c r="C19" s="451"/>
      <c r="D19" s="451"/>
      <c r="E19" s="451"/>
      <c r="F19" s="451"/>
      <c r="G19" s="451"/>
    </row>
    <row r="20" spans="2:7">
      <c r="B20" s="240"/>
      <c r="C20" s="451"/>
      <c r="D20" s="451"/>
      <c r="E20" s="451"/>
      <c r="F20" s="451"/>
      <c r="G20" s="451"/>
    </row>
    <row r="21" spans="2:7">
      <c r="B21" s="240"/>
      <c r="C21" s="451"/>
      <c r="D21" s="451"/>
      <c r="E21" s="451"/>
      <c r="F21" s="451"/>
      <c r="G21" s="451"/>
    </row>
    <row r="22" spans="2:7">
      <c r="B22" s="240"/>
      <c r="C22" s="451"/>
      <c r="D22" s="451"/>
      <c r="E22" s="451"/>
      <c r="F22" s="451"/>
      <c r="G22" s="451"/>
    </row>
    <row r="23" spans="2:7">
      <c r="B23" s="240"/>
      <c r="C23" s="451"/>
      <c r="D23" s="451"/>
      <c r="E23" s="451"/>
      <c r="F23" s="451"/>
      <c r="G23" s="451"/>
    </row>
    <row r="24" spans="2:7">
      <c r="B24" s="240"/>
      <c r="C24" s="451"/>
      <c r="D24" s="451"/>
      <c r="E24" s="451"/>
      <c r="F24" s="451"/>
      <c r="G24" s="451"/>
    </row>
    <row r="25" spans="2:7">
      <c r="B25" s="229"/>
    </row>
    <row r="26" spans="2:7">
      <c r="B26" s="229"/>
    </row>
    <row r="27" spans="2:7">
      <c r="B27" s="229"/>
    </row>
    <row r="28" spans="2:7">
      <c r="B28" s="229"/>
    </row>
    <row r="29" spans="2:7">
      <c r="B29" s="229"/>
    </row>
    <row r="30" spans="2:7">
      <c r="B30" s="229"/>
    </row>
    <row r="31" spans="2:7">
      <c r="B31" s="229"/>
    </row>
    <row r="32" spans="2:7">
      <c r="B32" s="229"/>
    </row>
    <row r="33" spans="2:21" ht="15" customHeight="1">
      <c r="B33" s="229"/>
      <c r="J33" s="998"/>
      <c r="K33" s="998"/>
      <c r="L33" s="998"/>
      <c r="M33" s="998"/>
      <c r="N33" s="998"/>
      <c r="O33" s="998"/>
      <c r="P33" s="998"/>
      <c r="Q33" s="998"/>
      <c r="R33" s="998"/>
      <c r="S33" s="998"/>
      <c r="T33" s="998"/>
      <c r="U33" s="998"/>
    </row>
    <row r="34" spans="2:21">
      <c r="J34" s="998"/>
      <c r="K34" s="998"/>
      <c r="L34" s="998"/>
      <c r="M34" s="998"/>
      <c r="N34" s="998"/>
      <c r="O34" s="998"/>
      <c r="P34" s="998"/>
      <c r="Q34" s="998"/>
      <c r="R34" s="998"/>
      <c r="S34" s="998"/>
      <c r="T34" s="998"/>
      <c r="U34" s="998"/>
    </row>
    <row r="35" spans="2:21">
      <c r="J35" s="998"/>
      <c r="K35" s="998"/>
      <c r="L35" s="998"/>
      <c r="M35" s="998"/>
      <c r="N35" s="998"/>
      <c r="O35" s="998"/>
      <c r="P35" s="998"/>
      <c r="Q35" s="998"/>
      <c r="R35" s="998"/>
      <c r="S35" s="998"/>
      <c r="T35" s="998"/>
      <c r="U35" s="998"/>
    </row>
    <row r="36" spans="2:21">
      <c r="J36" s="998"/>
      <c r="K36" s="998"/>
      <c r="L36" s="998"/>
      <c r="M36" s="998"/>
      <c r="N36" s="998"/>
      <c r="O36" s="998"/>
      <c r="P36" s="998"/>
      <c r="Q36" s="998"/>
      <c r="R36" s="998"/>
      <c r="S36" s="998"/>
      <c r="T36" s="998"/>
      <c r="U36" s="998"/>
    </row>
    <row r="37" spans="2:21">
      <c r="J37" s="998"/>
      <c r="K37" s="998"/>
      <c r="L37" s="998"/>
      <c r="M37" s="998"/>
      <c r="N37" s="998"/>
      <c r="O37" s="998"/>
      <c r="P37" s="998"/>
      <c r="Q37" s="998"/>
      <c r="R37" s="998"/>
      <c r="S37" s="998"/>
      <c r="T37" s="998"/>
      <c r="U37" s="998"/>
    </row>
    <row r="38" spans="2:21">
      <c r="J38" s="998"/>
      <c r="K38" s="998"/>
      <c r="L38" s="998"/>
      <c r="M38" s="998"/>
      <c r="N38" s="998"/>
      <c r="O38" s="998"/>
      <c r="P38" s="998"/>
      <c r="Q38" s="998"/>
      <c r="R38" s="998"/>
      <c r="S38" s="998"/>
      <c r="T38" s="998"/>
      <c r="U38" s="998"/>
    </row>
  </sheetData>
  <mergeCells count="1">
    <mergeCell ref="J33:U38"/>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00"/>
  </sheetPr>
  <dimension ref="B4:N85"/>
  <sheetViews>
    <sheetView showGridLines="0" zoomScale="70" zoomScaleNormal="70" workbookViewId="0">
      <selection activeCell="G4" sqref="G4"/>
    </sheetView>
  </sheetViews>
  <sheetFormatPr defaultColWidth="11.5" defaultRowHeight="15.75"/>
  <cols>
    <col min="1" max="1" width="5" style="207" customWidth="1"/>
    <col min="2" max="2" width="23.5" style="207" bestFit="1" customWidth="1"/>
    <col min="3" max="6" width="12.125" style="207" bestFit="1" customWidth="1"/>
    <col min="7" max="7" width="15" style="207" customWidth="1"/>
    <col min="8" max="8" width="67.375" style="207" customWidth="1"/>
    <col min="9" max="16384" width="11.5" style="207"/>
  </cols>
  <sheetData>
    <row r="4" spans="2:14" ht="23.25">
      <c r="H4" s="454" t="s">
        <v>2719</v>
      </c>
      <c r="I4" s="208"/>
      <c r="J4" s="208"/>
      <c r="K4" s="208"/>
      <c r="L4" s="208"/>
      <c r="M4" s="209"/>
      <c r="N4" s="208"/>
    </row>
    <row r="5" spans="2:14" s="211" customFormat="1">
      <c r="B5" s="210" t="s">
        <v>2720</v>
      </c>
      <c r="H5" s="210"/>
    </row>
    <row r="7" spans="2:14">
      <c r="B7" s="212" t="s">
        <v>2156</v>
      </c>
      <c r="C7" s="213" t="s">
        <v>292</v>
      </c>
      <c r="D7" s="213" t="s">
        <v>190</v>
      </c>
      <c r="E7" s="213" t="s">
        <v>212</v>
      </c>
      <c r="F7" s="213" t="s">
        <v>2721</v>
      </c>
    </row>
    <row r="8" spans="2:14">
      <c r="B8" s="214" t="s">
        <v>1837</v>
      </c>
      <c r="C8" s="207">
        <f>VLOOKUP(B8,'AGGREGATES by country'!B:J,2,0)</f>
        <v>9.9488636363636367</v>
      </c>
      <c r="D8" s="207">
        <f>VLOOKUP(B8,'AGGREGATES by country'!B:J,3,0)</f>
        <v>8.8836174242424235</v>
      </c>
      <c r="E8" s="207">
        <f>VLOOKUP(B8,'AGGREGATES by country'!B:J,4,0)</f>
        <v>23.782060057969691</v>
      </c>
      <c r="F8" s="207">
        <f>VLOOKUP(B8,'AGGREGATES by country'!B:J,5,0)</f>
        <v>42.614541118575751</v>
      </c>
    </row>
    <row r="9" spans="2:14">
      <c r="B9" s="215" t="s">
        <v>2180</v>
      </c>
      <c r="C9" s="207">
        <f>VLOOKUP(B9,'AGGREGATES by group'!B:F,2,0)</f>
        <v>12.3225</v>
      </c>
      <c r="D9" s="207">
        <f>VLOOKUP(B9,'AGGREGATES by group'!B:F,3,0)</f>
        <v>1.42</v>
      </c>
      <c r="E9" s="207">
        <f>VLOOKUP(B9,'AGGREGATES by group'!B:F,4,0)</f>
        <v>2</v>
      </c>
      <c r="F9" s="207">
        <f>VLOOKUP(B9,'AGGREGATES by group'!B:F,5,0)</f>
        <v>15.7425</v>
      </c>
    </row>
    <row r="10" spans="2:14">
      <c r="B10" s="214" t="s">
        <v>1741</v>
      </c>
      <c r="C10" s="207">
        <f>VLOOKUP(B10,'AGGREGATES by country'!B:J,2,0)</f>
        <v>2.0766498671650888</v>
      </c>
      <c r="D10" s="207">
        <f>VLOOKUP(B10,'AGGREGATES by country'!B:J,3,0)</f>
        <v>0.37296906687801584</v>
      </c>
      <c r="E10" s="207">
        <f>VLOOKUP(B10,'AGGREGATES by country'!B:J,4,0)</f>
        <v>3.7678026456566056</v>
      </c>
      <c r="F10" s="207">
        <f>VLOOKUP(B10,'AGGREGATES by country'!B:J,5,0)</f>
        <v>6.2174215796997103</v>
      </c>
    </row>
    <row r="11" spans="2:14">
      <c r="B11" s="214" t="s">
        <v>840</v>
      </c>
      <c r="C11" s="207">
        <f>VLOOKUP(B11,'AGGREGATES by country'!B:J,2,0)</f>
        <v>1.1499999999999999</v>
      </c>
      <c r="D11" s="207">
        <f>VLOOKUP(B11,'AGGREGATES by country'!B:J,3,0)</f>
        <v>0.75</v>
      </c>
      <c r="E11" s="207">
        <f>VLOOKUP(B11,'AGGREGATES by country'!B:J,4,0)</f>
        <v>1.4395290571969697</v>
      </c>
      <c r="F11" s="207">
        <f>VLOOKUP(B11,'AGGREGATES by country'!B:J,5,0)</f>
        <v>3.3395290571969696</v>
      </c>
    </row>
    <row r="12" spans="2:14">
      <c r="B12" s="214" t="s">
        <v>1364</v>
      </c>
      <c r="C12" s="207">
        <f>VLOOKUP(B12,'AGGREGATES by country'!B:J,2,0)</f>
        <v>0.9534211711315429</v>
      </c>
      <c r="D12" s="207">
        <f>VLOOKUP(B12,'AGGREGATES by country'!B:J,3,0)</f>
        <v>0.10284090909090909</v>
      </c>
      <c r="E12" s="207">
        <f>VLOOKUP(B12,'AGGREGATES by country'!B:J,4,0)</f>
        <v>1.8</v>
      </c>
      <c r="F12" s="207">
        <f>VLOOKUP(B12,'AGGREGATES by country'!B:J,5,0)</f>
        <v>2.8562620802224519</v>
      </c>
    </row>
    <row r="13" spans="2:14">
      <c r="B13" s="214" t="s">
        <v>350</v>
      </c>
      <c r="C13" s="207">
        <f>VLOOKUP(B13,'AGGREGATES by country'!B:J,2,0)</f>
        <v>1.4407092722571113</v>
      </c>
      <c r="D13" s="207">
        <f>VLOOKUP(B13,'AGGREGATES by country'!B:J,3,0)</f>
        <v>0.25024011821204289</v>
      </c>
      <c r="E13" s="207">
        <f>VLOOKUP(B13,'AGGREGATES by country'!B:J,4,0)</f>
        <v>0.91932362269517998</v>
      </c>
      <c r="F13" s="207">
        <f>VLOOKUP(B13,'AGGREGATES by country'!B:J,5,0)</f>
        <v>2.6102730131643339</v>
      </c>
    </row>
    <row r="14" spans="2:14">
      <c r="B14" s="214" t="s">
        <v>763</v>
      </c>
      <c r="C14" s="207">
        <f>VLOOKUP(B14,'AGGREGATES by country'!B:J,2,0)</f>
        <v>1.8</v>
      </c>
      <c r="D14" s="207">
        <f>VLOOKUP(B14,'AGGREGATES by country'!B:J,3,0)</f>
        <v>0.1194314393939394</v>
      </c>
      <c r="E14" s="207">
        <f>VLOOKUP(B14,'AGGREGATES by country'!B:J,4,0)</f>
        <v>0.19375000000000001</v>
      </c>
      <c r="F14" s="207">
        <f>VLOOKUP(B14,'AGGREGATES by country'!B:J,5,0)</f>
        <v>2.1131814393939394</v>
      </c>
    </row>
    <row r="15" spans="2:14">
      <c r="B15" s="214" t="s">
        <v>1080</v>
      </c>
      <c r="C15" s="207">
        <f>VLOOKUP(B15,'AGGREGATES by country'!B:J,2,0)</f>
        <v>0.56818181818181812</v>
      </c>
      <c r="D15" s="207">
        <f>VLOOKUP(B15,'AGGREGATES by country'!B:J,3,0)</f>
        <v>9.8446969696969686E-2</v>
      </c>
      <c r="E15" s="207">
        <f>VLOOKUP(B15,'AGGREGATES by country'!B:J,4,0)</f>
        <v>0</v>
      </c>
      <c r="F15" s="207">
        <f>VLOOKUP(B15,'AGGREGATES by country'!B:J,5,0)</f>
        <v>0.66662878787878777</v>
      </c>
    </row>
    <row r="16" spans="2:14">
      <c r="B16" s="216" t="s">
        <v>1306</v>
      </c>
      <c r="C16" s="207">
        <f>VLOOKUP(B16,'AGGREGATES by country'!B:J,2,0)</f>
        <v>3.3980252618906609E-2</v>
      </c>
      <c r="D16" s="207">
        <f>VLOOKUP(B16,'AGGREGATES by country'!B:J,3,0)</f>
        <v>3.543654915971689E-2</v>
      </c>
      <c r="E16" s="207">
        <f>VLOOKUP(B16,'AGGREGATES by country'!B:J,4,0)</f>
        <v>0.49368447972463786</v>
      </c>
      <c r="F16" s="207">
        <f>VLOOKUP(B16,'AGGREGATES by country'!B:J,5,0)</f>
        <v>0.56310128150326133</v>
      </c>
    </row>
    <row r="17" spans="2:6">
      <c r="B17" s="214" t="s">
        <v>1036</v>
      </c>
      <c r="C17" s="207">
        <f>VLOOKUP(B17,'AGGREGATES by country'!B:J,2,0)</f>
        <v>0.31</v>
      </c>
      <c r="D17" s="207">
        <f>VLOOKUP(B17,'AGGREGATES by country'!B:J,3,0)</f>
        <v>3.0707372159090907E-2</v>
      </c>
      <c r="E17" s="207">
        <f>VLOOKUP(B17,'AGGREGATES by country'!B:J,4,0)</f>
        <v>0.15</v>
      </c>
      <c r="F17" s="207">
        <f>VLOOKUP(B17,'AGGREGATES by country'!B:J,5,0)</f>
        <v>0.49070737215909088</v>
      </c>
    </row>
    <row r="18" spans="2:6">
      <c r="B18" s="214" t="s">
        <v>503</v>
      </c>
      <c r="C18" s="207">
        <f>VLOOKUP(B18,'AGGREGATES by country'!B:J,2,0)</f>
        <v>0</v>
      </c>
      <c r="D18" s="207">
        <f>VLOOKUP(B18,'AGGREGATES by country'!B:J,3,0)</f>
        <v>0.10436510548631822</v>
      </c>
      <c r="E18" s="207">
        <f>VLOOKUP(B18,'AGGREGATES by country'!B:J,4,0)</f>
        <v>0.25621643027857555</v>
      </c>
      <c r="F18" s="207">
        <f>VLOOKUP(B18,'AGGREGATES by country'!B:J,5,0)</f>
        <v>0.36058153576489377</v>
      </c>
    </row>
    <row r="19" spans="2:6">
      <c r="B19" s="214" t="s">
        <v>1645</v>
      </c>
      <c r="C19" s="207">
        <f>VLOOKUP(B19,'AGGREGATES by country'!B:J,2,0)</f>
        <v>9.1348484848484846E-2</v>
      </c>
      <c r="D19" s="207">
        <f>VLOOKUP(B19,'AGGREGATES by country'!B:J,3,0)</f>
        <v>8.4840029411210188E-2</v>
      </c>
      <c r="E19" s="207">
        <f>VLOOKUP(B19,'AGGREGATES by country'!B:J,4,0)</f>
        <v>0.18246414973151129</v>
      </c>
      <c r="F19" s="207">
        <f>VLOOKUP(B19,'AGGREGATES by country'!B:J,5,0)</f>
        <v>0.35865266399120632</v>
      </c>
    </row>
    <row r="20" spans="2:6">
      <c r="B20" s="214" t="s">
        <v>618</v>
      </c>
      <c r="C20" s="207">
        <f>VLOOKUP(B20,'AGGREGATES by country'!B:J,2,0)</f>
        <v>0.02</v>
      </c>
      <c r="D20" s="207">
        <f>VLOOKUP(B20,'AGGREGATES by country'!B:J,3,0)</f>
        <v>3.7369609635444674E-2</v>
      </c>
      <c r="E20" s="207">
        <f>VLOOKUP(B20,'AGGREGATES by country'!B:J,4,0)</f>
        <v>0.26884611248521345</v>
      </c>
      <c r="F20" s="207">
        <f>VLOOKUP(B20,'AGGREGATES by country'!B:J,5,0)</f>
        <v>0.32621572212065814</v>
      </c>
    </row>
    <row r="21" spans="2:6">
      <c r="B21" s="214" t="s">
        <v>1408</v>
      </c>
      <c r="C21" s="207">
        <f>VLOOKUP(B21,'AGGREGATES by country'!B:J,2,0)</f>
        <v>0.25</v>
      </c>
      <c r="D21" s="207">
        <f>VLOOKUP(B21,'AGGREGATES by country'!B:J,3,0)</f>
        <v>1.1999999999999999E-3</v>
      </c>
      <c r="E21" s="207">
        <f>VLOOKUP(B21,'AGGREGATES by country'!B:J,4,0)</f>
        <v>8.7285984848484849E-3</v>
      </c>
      <c r="F21" s="207">
        <f>VLOOKUP(B21,'AGGREGATES by country'!B:J,5,0)</f>
        <v>0.25992859848484845</v>
      </c>
    </row>
    <row r="22" spans="2:6">
      <c r="B22" s="214" t="s">
        <v>666</v>
      </c>
      <c r="C22" s="207">
        <f>VLOOKUP(B22,'AGGREGATES by country'!B:J,2,0)</f>
        <v>0</v>
      </c>
      <c r="D22" s="207">
        <f>VLOOKUP(B22,'AGGREGATES by country'!B:J,3,0)</f>
        <v>4.8499989999999998E-3</v>
      </c>
      <c r="E22" s="207">
        <f>VLOOKUP(B22,'AGGREGATES by country'!B:J,4,0)</f>
        <v>0.245</v>
      </c>
      <c r="F22" s="207">
        <f>VLOOKUP(B22,'AGGREGATES by country'!B:J,5,0)</f>
        <v>0.24984999899999999</v>
      </c>
    </row>
    <row r="23" spans="2:6">
      <c r="B23" s="214" t="s">
        <v>926</v>
      </c>
      <c r="C23" s="207">
        <f>VLOOKUP(B23,'AGGREGATES by country'!B:J,2,0)</f>
        <v>0</v>
      </c>
      <c r="D23" s="207">
        <f>VLOOKUP(B23,'AGGREGATES by country'!B:J,3,0)</f>
        <v>0</v>
      </c>
      <c r="E23" s="207">
        <f>VLOOKUP(B23,'AGGREGATES by country'!B:J,4,0)</f>
        <v>0.24734007386363635</v>
      </c>
      <c r="F23" s="207">
        <f>VLOOKUP(B23,'AGGREGATES by country'!B:J,5,0)</f>
        <v>0.24734007386363635</v>
      </c>
    </row>
    <row r="24" spans="2:6">
      <c r="B24" s="214" t="s">
        <v>1119</v>
      </c>
      <c r="C24" s="207">
        <f>VLOOKUP(B24,'AGGREGATES by country'!B:J,2,0)</f>
        <v>1.4999999999999999E-2</v>
      </c>
      <c r="D24" s="207">
        <f>VLOOKUP(B24,'AGGREGATES by country'!B:J,3,0)</f>
        <v>1.3674169999999999E-3</v>
      </c>
      <c r="E24" s="207">
        <f>VLOOKUP(B24,'AGGREGATES by country'!B:J,4,0)</f>
        <v>0.21879999999999999</v>
      </c>
      <c r="F24" s="207">
        <f>VLOOKUP(B24,'AGGREGATES by country'!B:J,5,0)</f>
        <v>0.23516741699999999</v>
      </c>
    </row>
    <row r="25" spans="2:6">
      <c r="B25" s="216" t="s">
        <v>189</v>
      </c>
      <c r="C25" s="207">
        <f>VLOOKUP(B25,'AGGREGATES by country'!B:J,2,0)</f>
        <v>0</v>
      </c>
      <c r="D25" s="207">
        <f>VLOOKUP(B25,'AGGREGATES by country'!B:J,3,0)</f>
        <v>4.7479912344777213E-2</v>
      </c>
      <c r="E25" s="207">
        <f>VLOOKUP(B25,'AGGREGATES by country'!B:J,4,0)</f>
        <v>0.18533767182415831</v>
      </c>
      <c r="F25" s="207">
        <f>VLOOKUP(B25,'AGGREGATES by country'!B:J,5,0)</f>
        <v>0.23281758416893553</v>
      </c>
    </row>
    <row r="26" spans="2:6">
      <c r="B26" s="214" t="s">
        <v>1507</v>
      </c>
      <c r="C26" s="207">
        <f>VLOOKUP(B26,'AGGREGATES by country'!B:J,2,0)</f>
        <v>0</v>
      </c>
      <c r="D26" s="207">
        <f>VLOOKUP(B26,'AGGREGATES by country'!B:J,3,0)</f>
        <v>5.0000000000000001E-3</v>
      </c>
      <c r="E26" s="207">
        <f>VLOOKUP(B26,'AGGREGATES by country'!B:J,4,0)</f>
        <v>0.16365189393939394</v>
      </c>
      <c r="F26" s="207">
        <f>VLOOKUP(B26,'AGGREGATES by country'!B:J,5,0)</f>
        <v>0.16865189393939395</v>
      </c>
    </row>
    <row r="27" spans="2:6">
      <c r="B27" s="214" t="s">
        <v>296</v>
      </c>
      <c r="C27" s="207">
        <f>VLOOKUP(B27,'AGGREGATES by country'!B:J,2,0)</f>
        <v>0</v>
      </c>
      <c r="D27" s="207">
        <f>VLOOKUP(B27,'AGGREGATES by country'!B:J,3,0)</f>
        <v>0.1164</v>
      </c>
      <c r="E27" s="207">
        <f>VLOOKUP(B27,'AGGREGATES by country'!B:J,4,0)</f>
        <v>7.5999999999999998E-2</v>
      </c>
      <c r="F27" s="207">
        <f>VLOOKUP(B27,'AGGREGATES by country'!B:J,5,0)</f>
        <v>0.19240000000000002</v>
      </c>
    </row>
    <row r="28" spans="2:6">
      <c r="B28" s="214" t="s">
        <v>1215</v>
      </c>
      <c r="C28" s="207">
        <f>VLOOKUP(B28,'AGGREGATES by country'!B:J,2,0)</f>
        <v>0.08</v>
      </c>
      <c r="D28" s="207">
        <f>VLOOKUP(B28,'AGGREGATES by country'!B:J,3,0)</f>
        <v>2.6948863636363635E-2</v>
      </c>
      <c r="E28" s="207">
        <f>VLOOKUP(B28,'AGGREGATES by country'!B:J,4,0)</f>
        <v>8.4090909090909091E-2</v>
      </c>
      <c r="F28" s="207">
        <f>VLOOKUP(B28,'AGGREGATES by country'!B:J,5,0)</f>
        <v>0.19103977272727274</v>
      </c>
    </row>
    <row r="29" spans="2:6">
      <c r="B29" s="214" t="s">
        <v>1147</v>
      </c>
      <c r="C29" s="207">
        <f>VLOOKUP(B29,'AGGREGATES by country'!B:J,2,0)</f>
        <v>5.0000000000000001E-3</v>
      </c>
      <c r="D29" s="207">
        <f>VLOOKUP(B29,'AGGREGATES by country'!B:J,3,0)</f>
        <v>4.2000000000000003E-2</v>
      </c>
      <c r="E29" s="207">
        <f>VLOOKUP(B29,'AGGREGATES by country'!B:J,4,0)</f>
        <v>5.45E-2</v>
      </c>
      <c r="F29" s="207">
        <f>VLOOKUP(B29,'AGGREGATES by country'!B:J,5,0)</f>
        <v>0.10150000000000001</v>
      </c>
    </row>
    <row r="30" spans="2:6">
      <c r="B30" s="214" t="s">
        <v>701</v>
      </c>
      <c r="C30" s="207">
        <f>VLOOKUP(B30,'AGGREGATES by country'!B:J,2,0)</f>
        <v>7.4999999999999997E-2</v>
      </c>
      <c r="D30" s="207">
        <f>VLOOKUP(B30,'AGGREGATES by country'!B:J,3,0)</f>
        <v>5.4709375000000001E-3</v>
      </c>
      <c r="E30" s="207">
        <f>VLOOKUP(B30,'AGGREGATES by country'!B:J,4,0)</f>
        <v>2.93E-2</v>
      </c>
      <c r="F30" s="207">
        <f>VLOOKUP(B30,'AGGREGATES by country'!B:J,5,0)</f>
        <v>0.1097709375</v>
      </c>
    </row>
    <row r="31" spans="2:6">
      <c r="B31" s="214" t="s">
        <v>1587</v>
      </c>
      <c r="C31" s="207">
        <f>VLOOKUP(B31,'AGGREGATES by country'!B:J,2,0)</f>
        <v>0</v>
      </c>
      <c r="D31" s="207">
        <f>VLOOKUP(B31,'AGGREGATES by country'!B:J,3,0)</f>
        <v>4.3885913212121208E-2</v>
      </c>
      <c r="E31" s="207">
        <f>VLOOKUP(B31,'AGGREGATES by country'!B:J,4,0)</f>
        <v>3.7245335227272719E-2</v>
      </c>
      <c r="F31" s="207">
        <f>VLOOKUP(B31,'AGGREGATES by country'!B:J,5,0)</f>
        <v>8.1131248439393927E-2</v>
      </c>
    </row>
    <row r="32" spans="2:6">
      <c r="B32" s="217" t="s">
        <v>1006</v>
      </c>
      <c r="C32" s="207">
        <f>VLOOKUP(B32,'AGGREGATES by country'!B:J,2,0)</f>
        <v>0</v>
      </c>
      <c r="D32" s="207">
        <f>VLOOKUP(B32,'AGGREGATES by country'!B:J,3,0)</f>
        <v>6.7688318181818183E-2</v>
      </c>
      <c r="E32" s="207">
        <f>VLOOKUP(B32,'AGGREGATES by country'!B:J,4,0)</f>
        <v>0</v>
      </c>
      <c r="F32" s="207">
        <f>VLOOKUP(B32,'AGGREGATES by country'!B:J,5,0)</f>
        <v>6.7688318181818183E-2</v>
      </c>
    </row>
    <row r="33" spans="2:11">
      <c r="B33" s="216" t="s">
        <v>1694</v>
      </c>
      <c r="C33" s="207">
        <f>VLOOKUP(B33,'AGGREGATES by country'!B:J,2,0)</f>
        <v>0</v>
      </c>
      <c r="D33" s="207">
        <f>VLOOKUP(B33,'AGGREGATES by country'!B:J,3,0)</f>
        <v>5.8622374206155348E-2</v>
      </c>
      <c r="E33" s="207">
        <f>VLOOKUP(B33,'AGGREGATES by country'!B:J,4,0)</f>
        <v>0</v>
      </c>
      <c r="F33" s="207">
        <f>VLOOKUP(B33,'AGGREGATES by country'!B:J,5,0)</f>
        <v>5.8622374206155348E-2</v>
      </c>
    </row>
    <row r="34" spans="2:11">
      <c r="B34" s="217" t="s">
        <v>257</v>
      </c>
      <c r="C34" s="207">
        <f>VLOOKUP(B34,'AGGREGATES by country'!B:J,2,0)</f>
        <v>0.01</v>
      </c>
      <c r="D34" s="207">
        <f>VLOOKUP(B34,'AGGREGATES by country'!B:J,3,0)</f>
        <v>4.5133901515151516E-2</v>
      </c>
      <c r="E34" s="207">
        <f>VLOOKUP(B34,'AGGREGATES by country'!B:J,4,0)</f>
        <v>3.3860407670454539E-3</v>
      </c>
      <c r="F34" s="207">
        <f>VLOOKUP(B34,'AGGREGATES by country'!B:J,5,0)</f>
        <v>5.8519942282196973E-2</v>
      </c>
    </row>
    <row r="35" spans="2:11">
      <c r="B35" s="214" t="s">
        <v>1187</v>
      </c>
      <c r="C35" s="207">
        <f>VLOOKUP(B35,'AGGREGATES by country'!B:J,2,0)</f>
        <v>0</v>
      </c>
      <c r="D35" s="207">
        <f>VLOOKUP(B35,'AGGREGATES by country'!B:J,3,0)</f>
        <v>4.0000000000000001E-3</v>
      </c>
      <c r="E35" s="207">
        <f>VLOOKUP(B35,'AGGREGATES by country'!B:J,4,0)</f>
        <v>0.05</v>
      </c>
      <c r="F35" s="207">
        <f>VLOOKUP(B35,'AGGREGATES by country'!B:J,5,0)</f>
        <v>5.4000000000000006E-2</v>
      </c>
    </row>
    <row r="36" spans="2:11">
      <c r="B36" s="214" t="s">
        <v>963</v>
      </c>
      <c r="C36" s="207">
        <f>VLOOKUP(B36,'AGGREGATES by country'!B:J,2,0)</f>
        <v>0</v>
      </c>
      <c r="D36" s="207">
        <f>VLOOKUP(B36,'AGGREGATES by country'!B:J,3,0)</f>
        <v>4.5396535278737327E-2</v>
      </c>
      <c r="E36" s="207">
        <f>VLOOKUP(B36,'AGGREGATES by country'!B:J,4,0)</f>
        <v>0</v>
      </c>
      <c r="F36" s="207">
        <f>VLOOKUP(B36,'AGGREGATES by country'!B:J,5,0)</f>
        <v>4.5396535278737327E-2</v>
      </c>
    </row>
    <row r="37" spans="2:11">
      <c r="B37" s="216" t="s">
        <v>1449</v>
      </c>
      <c r="C37" s="207">
        <f>VLOOKUP(B37,'AGGREGATES by country'!B:J,2,0)</f>
        <v>0</v>
      </c>
      <c r="D37" s="207">
        <f>VLOOKUP(B37,'AGGREGATES by country'!B:J,3,0)</f>
        <v>3.901515151515151E-2</v>
      </c>
      <c r="E37" s="207">
        <f>VLOOKUP(B37,'AGGREGATES by country'!B:J,4,0)</f>
        <v>3.3901515151515149E-3</v>
      </c>
      <c r="F37" s="207">
        <f>VLOOKUP(B37,'AGGREGATES by country'!B:J,5,0)</f>
        <v>4.2405303030303022E-2</v>
      </c>
    </row>
    <row r="38" spans="2:11">
      <c r="B38" s="214" t="s">
        <v>464</v>
      </c>
      <c r="C38" s="207">
        <f>VLOOKUP(B38,'AGGREGATES by country'!B:J,2,0)</f>
        <v>0</v>
      </c>
      <c r="D38" s="207">
        <f>VLOOKUP(B38,'AGGREGATES by country'!B:J,3,0)</f>
        <v>6.4437766925785666E-3</v>
      </c>
      <c r="E38" s="207">
        <f>VLOOKUP(B38,'AGGREGATES by country'!B:J,4,0)</f>
        <v>1.6477310477709121E-2</v>
      </c>
      <c r="F38" s="207">
        <f>VLOOKUP(B38,'AGGREGATES by country'!B:J,5,0)</f>
        <v>2.2921087170287686E-2</v>
      </c>
    </row>
    <row r="39" spans="2:11">
      <c r="B39" s="216" t="s">
        <v>1273</v>
      </c>
      <c r="C39" s="207">
        <f>VLOOKUP(B39,'AGGREGATES by country'!B:J,2,0)</f>
        <v>0</v>
      </c>
      <c r="D39" s="207">
        <f>VLOOKUP(B39,'AGGREGATES by country'!B:J,3,0)</f>
        <v>2.4019696150843692E-3</v>
      </c>
      <c r="E39" s="207">
        <f>VLOOKUP(B39,'AGGREGATES by country'!B:J,4,0)</f>
        <v>1.3818429492297321E-2</v>
      </c>
      <c r="F39" s="207">
        <f>VLOOKUP(B39,'AGGREGATES by country'!B:J,5,0)</f>
        <v>1.622039910738169E-2</v>
      </c>
    </row>
    <row r="40" spans="2:11">
      <c r="B40" s="215" t="s">
        <v>1721</v>
      </c>
      <c r="C40" s="215">
        <f>VLOOKUP(B40,'AGGREGATES by country'!B:J,2,0)</f>
        <v>0</v>
      </c>
      <c r="D40" s="215">
        <f>VLOOKUP(B40,'AGGREGATES by country'!B:J,3,0)</f>
        <v>1.1837121212121207E-2</v>
      </c>
      <c r="E40" s="215">
        <f>VLOOKUP(B40,'AGGREGATES by country'!B:J,4,0)</f>
        <v>0</v>
      </c>
      <c r="F40" s="215">
        <f>VLOOKUP(B40,'AGGREGATES by country'!B:J,5,0)</f>
        <v>1.1837121212121207E-2</v>
      </c>
    </row>
    <row r="41" spans="2:11">
      <c r="B41" s="214" t="s">
        <v>1478</v>
      </c>
      <c r="C41" s="207">
        <f>VLOOKUP(B41,'AGGREGATES by country'!B:J,2,0)</f>
        <v>0</v>
      </c>
      <c r="D41" s="207">
        <f>VLOOKUP(B41,'AGGREGATES by country'!B:J,3,0)</f>
        <v>6.6393374717699802E-3</v>
      </c>
      <c r="E41" s="207">
        <f>VLOOKUP(B41,'AGGREGATES by country'!B:J,4,0)</f>
        <v>3.0000000000000001E-3</v>
      </c>
      <c r="F41" s="207">
        <f>VLOOKUP(B41,'AGGREGATES by country'!B:J,5,0)</f>
        <v>9.6393374717699803E-3</v>
      </c>
    </row>
    <row r="42" spans="2:11">
      <c r="B42" s="217" t="s">
        <v>1546</v>
      </c>
      <c r="C42" s="207">
        <f>VLOOKUP(B42,'AGGREGATES by country'!B:J,2,0)</f>
        <v>0</v>
      </c>
      <c r="D42" s="207">
        <f>VLOOKUP(B42,'AGGREGATES by country'!B:J,3,0)</f>
        <v>2.0830000000000002E-3</v>
      </c>
      <c r="E42" s="207">
        <f>VLOOKUP(B42,'AGGREGATES by country'!B:J,4,0)</f>
        <v>6.628787878787879E-3</v>
      </c>
      <c r="F42" s="207">
        <f>VLOOKUP(B42,'AGGREGATES by country'!B:J,5,0)</f>
        <v>8.7117878787878796E-3</v>
      </c>
    </row>
    <row r="43" spans="2:11" ht="15" customHeight="1">
      <c r="B43" s="215" t="s">
        <v>329</v>
      </c>
      <c r="C43" s="207">
        <f>VLOOKUP(B43,'AGGREGATES by country'!B:J,2,0)</f>
        <v>0</v>
      </c>
      <c r="D43" s="207">
        <f>VLOOKUP(B43,'AGGREGATES by country'!B:J,3,0)</f>
        <v>7.0600000000000003E-4</v>
      </c>
      <c r="E43" s="207">
        <f>VLOOKUP(B43,'AGGREGATES by country'!B:J,4,0)</f>
        <v>3.5984848484848482E-3</v>
      </c>
      <c r="F43" s="207">
        <f>VLOOKUP(B43,'AGGREGATES by country'!B:J,5,0)</f>
        <v>4.3044848484848483E-3</v>
      </c>
      <c r="I43" s="218"/>
      <c r="J43" s="218"/>
    </row>
    <row r="44" spans="2:11">
      <c r="B44" s="214" t="s">
        <v>490</v>
      </c>
      <c r="C44" s="207">
        <f>VLOOKUP(B44,'AGGREGATES by country'!B:J,2,0)</f>
        <v>0</v>
      </c>
      <c r="D44" s="207">
        <f>VLOOKUP(B44,'AGGREGATES by country'!B:J,3,0)</f>
        <v>2.3939393939393936E-3</v>
      </c>
      <c r="E44" s="207">
        <f>VLOOKUP(B44,'AGGREGATES by country'!B:J,4,0)</f>
        <v>0</v>
      </c>
      <c r="F44" s="207">
        <f>VLOOKUP(B44,'AGGREGATES by country'!B:J,5,0)</f>
        <v>2.3939393939393936E-3</v>
      </c>
      <c r="H44" s="218"/>
      <c r="I44" s="218"/>
      <c r="J44" s="218"/>
    </row>
    <row r="45" spans="2:11">
      <c r="B45" s="215" t="s">
        <v>456</v>
      </c>
      <c r="C45" s="215">
        <f>VLOOKUP(B45,'AGGREGATES by country'!B:J,2,0)</f>
        <v>0</v>
      </c>
      <c r="D45" s="215">
        <f>VLOOKUP(B45,'AGGREGATES by country'!B:J,3,0)</f>
        <v>2.1217307665106011E-3</v>
      </c>
      <c r="E45" s="215">
        <f>VLOOKUP(B45,'AGGREGATES by country'!B:J,4,0)</f>
        <v>0</v>
      </c>
      <c r="F45" s="215">
        <f>VLOOKUP(B45,'AGGREGATES by country'!B:J,5,0)</f>
        <v>2.1217307665106011E-3</v>
      </c>
      <c r="H45" s="218"/>
      <c r="I45" s="218"/>
      <c r="J45" s="218"/>
    </row>
    <row r="46" spans="2:11" ht="12.75" customHeight="1">
      <c r="B46" s="561" t="s">
        <v>998</v>
      </c>
      <c r="C46" s="215">
        <f>VLOOKUP(B46,'AGGREGATES by country'!B:J,2,0)</f>
        <v>0</v>
      </c>
      <c r="D46" s="215">
        <f>VLOOKUP(B46,'AGGREGATES by country'!B:J,3,0)</f>
        <v>1.7708333333333332E-3</v>
      </c>
      <c r="E46" s="215">
        <f>VLOOKUP(B46,'AGGREGATES by country'!B:J,4,0)</f>
        <v>0</v>
      </c>
      <c r="F46" s="215">
        <f>VLOOKUP(B46,'AGGREGATES by country'!B:J,5,0)</f>
        <v>1.7708333333333332E-3</v>
      </c>
    </row>
    <row r="47" spans="2:11" ht="15.75" customHeight="1">
      <c r="B47" s="217" t="s">
        <v>1207</v>
      </c>
      <c r="C47" s="207">
        <f>VLOOKUP(B47,'AGGREGATES by country'!B:J,2,0)</f>
        <v>0</v>
      </c>
      <c r="D47" s="207">
        <f>VLOOKUP(B47,'AGGREGATES by country'!B:J,3,0)</f>
        <v>1.15E-3</v>
      </c>
      <c r="E47" s="207">
        <f>VLOOKUP(B47,'AGGREGATES by country'!B:J,4,0)</f>
        <v>0</v>
      </c>
      <c r="F47" s="207">
        <f>VLOOKUP(B47,'AGGREGATES by country'!B:J,5,0)</f>
        <v>1.15E-3</v>
      </c>
      <c r="I47" s="999"/>
      <c r="J47" s="999"/>
      <c r="K47" s="999"/>
    </row>
    <row r="48" spans="2:11" s="211" customFormat="1" ht="15.75" customHeight="1">
      <c r="B48" s="500" t="s">
        <v>1702</v>
      </c>
      <c r="C48" s="499">
        <f>VLOOKUP(B48,'AGGREGATES by country'!B:J,2,0)</f>
        <v>0</v>
      </c>
      <c r="D48" s="499">
        <f>VLOOKUP(B48,'AGGREGATES by country'!B:J,3,0)</f>
        <v>1.8416856060606061E-4</v>
      </c>
      <c r="E48" s="499">
        <f>VLOOKUP(B48,'AGGREGATES by country'!B:J,4,0)</f>
        <v>0</v>
      </c>
      <c r="F48" s="499">
        <f>VLOOKUP(B48,'AGGREGATES by country'!B:J,5,0)</f>
        <v>1.8416856060606061E-4</v>
      </c>
      <c r="I48" s="999"/>
      <c r="J48" s="999"/>
      <c r="K48" s="999"/>
    </row>
    <row r="49" spans="2:14" ht="15.75" customHeight="1">
      <c r="I49" s="999"/>
      <c r="J49" s="999"/>
      <c r="K49" s="999"/>
    </row>
    <row r="50" spans="2:14" ht="15" customHeight="1">
      <c r="B50" s="407" t="s">
        <v>2717</v>
      </c>
      <c r="C50" s="408">
        <f>SUM(C8:C48)</f>
        <v>31.150654502566585</v>
      </c>
      <c r="D50" s="408">
        <f t="shared" ref="D50:F50" si="0">SUM(D8:D48)</f>
        <v>12.882455793802301</v>
      </c>
      <c r="E50" s="408">
        <f t="shared" si="0"/>
        <v>36.703970243148071</v>
      </c>
      <c r="F50" s="408">
        <f t="shared" si="0"/>
        <v>80.737080539517024</v>
      </c>
      <c r="I50" s="999"/>
      <c r="J50" s="999"/>
      <c r="K50" s="999"/>
    </row>
    <row r="51" spans="2:14">
      <c r="I51" s="999"/>
      <c r="J51" s="999"/>
      <c r="K51" s="999"/>
    </row>
    <row r="52" spans="2:14">
      <c r="B52" s="215"/>
      <c r="C52" s="215"/>
    </row>
    <row r="53" spans="2:14">
      <c r="B53" s="219"/>
      <c r="C53" s="219"/>
    </row>
    <row r="54" spans="2:14">
      <c r="B54" s="220"/>
      <c r="C54" s="221"/>
      <c r="H54" s="1000" t="s">
        <v>2722</v>
      </c>
      <c r="I54" s="1000"/>
      <c r="J54" s="1000"/>
      <c r="K54" s="1000"/>
      <c r="L54" s="1000"/>
      <c r="M54" s="1000"/>
      <c r="N54" s="1000"/>
    </row>
    <row r="55" spans="2:14" ht="15.75" customHeight="1">
      <c r="B55" s="220"/>
      <c r="C55" s="221"/>
      <c r="H55" s="1000"/>
      <c r="I55" s="1000"/>
      <c r="J55" s="1000"/>
      <c r="K55" s="1000"/>
      <c r="L55" s="1000"/>
      <c r="M55" s="1000"/>
      <c r="N55" s="1000"/>
    </row>
    <row r="56" spans="2:14">
      <c r="B56" s="220"/>
      <c r="C56" s="221"/>
      <c r="H56" s="1000"/>
      <c r="I56" s="1000"/>
      <c r="J56" s="1000"/>
      <c r="K56" s="1000"/>
      <c r="L56" s="1000"/>
      <c r="M56" s="1000"/>
      <c r="N56" s="1000"/>
    </row>
    <row r="57" spans="2:14">
      <c r="B57" s="220"/>
      <c r="C57" s="221"/>
      <c r="H57" s="1000"/>
      <c r="I57" s="1000"/>
      <c r="J57" s="1000"/>
      <c r="K57" s="1000"/>
      <c r="L57" s="1000"/>
      <c r="M57" s="1000"/>
      <c r="N57" s="1000"/>
    </row>
    <row r="58" spans="2:14">
      <c r="B58" s="220"/>
      <c r="C58" s="221"/>
      <c r="H58" s="1000"/>
      <c r="I58" s="1000"/>
      <c r="J58" s="1000"/>
      <c r="K58" s="1000"/>
      <c r="L58" s="1000"/>
      <c r="M58" s="1000"/>
      <c r="N58" s="1000"/>
    </row>
    <row r="59" spans="2:14">
      <c r="B59" s="220"/>
      <c r="C59" s="221"/>
    </row>
    <row r="60" spans="2:14">
      <c r="B60" s="220"/>
      <c r="C60" s="221"/>
    </row>
    <row r="61" spans="2:14">
      <c r="B61" s="220"/>
      <c r="C61" s="221"/>
    </row>
    <row r="62" spans="2:14">
      <c r="B62" s="220"/>
      <c r="C62" s="221"/>
    </row>
    <row r="63" spans="2:14">
      <c r="B63" s="220"/>
      <c r="C63" s="221"/>
    </row>
    <row r="64" spans="2:14">
      <c r="B64" s="220"/>
      <c r="C64" s="221"/>
    </row>
    <row r="65" spans="2:3">
      <c r="B65" s="220"/>
      <c r="C65" s="221"/>
    </row>
    <row r="66" spans="2:3">
      <c r="B66" s="220"/>
      <c r="C66" s="221"/>
    </row>
    <row r="67" spans="2:3">
      <c r="B67" s="220"/>
      <c r="C67" s="221"/>
    </row>
    <row r="68" spans="2:3">
      <c r="B68" s="220"/>
      <c r="C68" s="221"/>
    </row>
    <row r="69" spans="2:3">
      <c r="B69" s="220"/>
      <c r="C69" s="221"/>
    </row>
    <row r="70" spans="2:3">
      <c r="B70" s="220"/>
      <c r="C70" s="221"/>
    </row>
    <row r="71" spans="2:3">
      <c r="B71" s="220"/>
      <c r="C71" s="221"/>
    </row>
    <row r="72" spans="2:3">
      <c r="B72" s="220"/>
      <c r="C72" s="221"/>
    </row>
    <row r="73" spans="2:3">
      <c r="B73" s="220"/>
      <c r="C73" s="221"/>
    </row>
    <row r="74" spans="2:3">
      <c r="B74" s="220"/>
      <c r="C74" s="221"/>
    </row>
    <row r="75" spans="2:3">
      <c r="B75" s="220"/>
      <c r="C75" s="221"/>
    </row>
    <row r="76" spans="2:3">
      <c r="B76" s="220"/>
      <c r="C76" s="221"/>
    </row>
    <row r="77" spans="2:3">
      <c r="B77" s="220"/>
      <c r="C77" s="221"/>
    </row>
    <row r="78" spans="2:3">
      <c r="B78" s="220"/>
      <c r="C78" s="221"/>
    </row>
    <row r="79" spans="2:3">
      <c r="B79" s="220"/>
      <c r="C79" s="221"/>
    </row>
    <row r="80" spans="2:3" ht="15" customHeight="1">
      <c r="B80" s="220"/>
      <c r="C80" s="221"/>
    </row>
    <row r="81" spans="2:3" ht="15" customHeight="1">
      <c r="B81" s="215"/>
      <c r="C81" s="221"/>
    </row>
    <row r="82" spans="2:3" ht="15" customHeight="1">
      <c r="B82" s="220"/>
      <c r="C82" s="221"/>
    </row>
    <row r="83" spans="2:3" ht="15" customHeight="1">
      <c r="B83" s="220"/>
      <c r="C83" s="221"/>
    </row>
    <row r="84" spans="2:3" ht="15" customHeight="1">
      <c r="B84" s="215"/>
      <c r="C84" s="221"/>
    </row>
    <row r="85" spans="2:3">
      <c r="B85" s="215"/>
      <c r="C85" s="215"/>
    </row>
  </sheetData>
  <autoFilter ref="B7:F45" xr:uid="{00000000-0009-0000-0000-000009000000}">
    <sortState xmlns:xlrd2="http://schemas.microsoft.com/office/spreadsheetml/2017/richdata2" ref="B8:F48">
      <sortCondition descending="1" ref="F7:F45"/>
    </sortState>
  </autoFilter>
  <sortState xmlns:xlrd2="http://schemas.microsoft.com/office/spreadsheetml/2017/richdata2" ref="B8:F45">
    <sortCondition descending="1" ref="F8:F45"/>
  </sortState>
  <mergeCells count="2">
    <mergeCell ref="I47:K51"/>
    <mergeCell ref="H54:N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00"/>
  </sheetPr>
  <dimension ref="B3:P58"/>
  <sheetViews>
    <sheetView showGridLines="0" topLeftCell="B1" zoomScale="70" zoomScaleNormal="70" workbookViewId="0">
      <selection activeCell="F3" sqref="F3"/>
    </sheetView>
  </sheetViews>
  <sheetFormatPr defaultColWidth="11.5" defaultRowHeight="15.75"/>
  <cols>
    <col min="1" max="1" width="5" style="208" customWidth="1"/>
    <col min="2" max="2" width="26.375" style="208" bestFit="1" customWidth="1"/>
    <col min="3" max="3" width="24.125" style="236" customWidth="1"/>
    <col min="4" max="4" width="12.375" style="208" bestFit="1" customWidth="1"/>
    <col min="5" max="16384" width="11.5" style="208"/>
  </cols>
  <sheetData>
    <row r="3" spans="2:14">
      <c r="F3" s="210"/>
    </row>
    <row r="4" spans="2:14">
      <c r="F4" s="211"/>
      <c r="G4" s="211"/>
      <c r="H4" s="211"/>
      <c r="I4" s="211"/>
      <c r="J4" s="211"/>
      <c r="K4" s="211"/>
      <c r="L4" s="211"/>
      <c r="M4" s="211"/>
      <c r="N4" s="211"/>
    </row>
    <row r="5" spans="2:14" s="211" customFormat="1">
      <c r="B5" s="210" t="s">
        <v>2723</v>
      </c>
      <c r="C5" s="237"/>
      <c r="F5" s="139" t="s">
        <v>2724</v>
      </c>
    </row>
    <row r="7" spans="2:14">
      <c r="B7" s="238" t="s">
        <v>2156</v>
      </c>
      <c r="C7" s="239" t="s">
        <v>2725</v>
      </c>
    </row>
    <row r="8" spans="2:14">
      <c r="B8" s="229" t="s">
        <v>666</v>
      </c>
      <c r="C8" s="236">
        <f>VLOOKUP(B8,'AGGREGATES by country'!B:J,9,0)</f>
        <v>0.86081273274739001</v>
      </c>
    </row>
    <row r="9" spans="2:14">
      <c r="B9" s="229" t="s">
        <v>1119</v>
      </c>
      <c r="C9" s="236">
        <f>VLOOKUP(B9,'AGGREGATES by country'!B:J,9,0)</f>
        <v>0.73674439959035609</v>
      </c>
    </row>
    <row r="10" spans="2:14">
      <c r="B10" s="229" t="s">
        <v>1364</v>
      </c>
      <c r="C10" s="236">
        <f>VLOOKUP(B10,'AGGREGATES by country'!B:J,9,0)</f>
        <v>0.50554636366421735</v>
      </c>
    </row>
    <row r="11" spans="2:14">
      <c r="B11" s="229" t="s">
        <v>1741</v>
      </c>
      <c r="C11" s="236">
        <f>VLOOKUP(B11,'AGGREGATES by country'!B:J,9,0)</f>
        <v>0.23790084532895767</v>
      </c>
    </row>
    <row r="12" spans="2:14">
      <c r="B12" s="229" t="s">
        <v>1837</v>
      </c>
      <c r="C12" s="236">
        <f>VLOOKUP(B12,'AGGREGATES by country'!B:J,9,0)</f>
        <v>0.21477063422911147</v>
      </c>
    </row>
    <row r="13" spans="2:14">
      <c r="B13" s="229" t="s">
        <v>1147</v>
      </c>
      <c r="C13" s="236">
        <f>VLOOKUP(B13,'AGGREGATES by country'!B:J,9,0)</f>
        <v>0.18954865124491221</v>
      </c>
    </row>
    <row r="14" spans="2:14">
      <c r="B14" s="229" t="s">
        <v>1507</v>
      </c>
      <c r="C14" s="236">
        <f>VLOOKUP(B14,'AGGREGATES by country'!B:J,9,0)</f>
        <v>0.16933732524909542</v>
      </c>
    </row>
    <row r="15" spans="2:14">
      <c r="B15" s="229" t="s">
        <v>350</v>
      </c>
      <c r="C15" s="236">
        <f>VLOOKUP(B15,'AGGREGATES by country'!B:J,9,0)</f>
        <v>0.16752212744448169</v>
      </c>
    </row>
    <row r="16" spans="2:14">
      <c r="B16" s="216" t="s">
        <v>1306</v>
      </c>
      <c r="C16" s="236">
        <f>VLOOKUP(B16,'AGGREGATES by country'!B:J,9,0)</f>
        <v>0.16417385807762389</v>
      </c>
    </row>
    <row r="17" spans="2:3">
      <c r="B17" s="229" t="s">
        <v>503</v>
      </c>
      <c r="C17" s="236">
        <f>VLOOKUP(B17,'AGGREGATES by country'!B:J,9,0)</f>
        <v>0.15520304766791065</v>
      </c>
    </row>
    <row r="18" spans="2:3">
      <c r="B18" s="229" t="s">
        <v>926</v>
      </c>
      <c r="C18" s="236">
        <f>VLOOKUP(B18,'AGGREGATES by country'!B:J,9,0)</f>
        <v>0.13831696526918708</v>
      </c>
    </row>
    <row r="19" spans="2:3">
      <c r="B19" s="229" t="s">
        <v>1408</v>
      </c>
      <c r="C19" s="236">
        <f>VLOOKUP(B19,'AGGREGATES by country'!B:J,9,0)</f>
        <v>0.1201040522624147</v>
      </c>
    </row>
    <row r="20" spans="2:3">
      <c r="B20" s="229" t="s">
        <v>618</v>
      </c>
      <c r="C20" s="236">
        <f>VLOOKUP(B20,'AGGREGATES by country'!B:J,9,0)</f>
        <v>9.674204988249431E-2</v>
      </c>
    </row>
    <row r="21" spans="2:3">
      <c r="B21" s="229" t="s">
        <v>840</v>
      </c>
      <c r="C21" s="236">
        <f>VLOOKUP(B21,'AGGREGATES by country'!B:J,9,0)</f>
        <v>9.1683909963377233E-2</v>
      </c>
    </row>
    <row r="22" spans="2:3">
      <c r="B22" s="229" t="s">
        <v>763</v>
      </c>
      <c r="C22" s="236">
        <f>VLOOKUP(B22,'AGGREGATES by country'!B:J,9,0)</f>
        <v>8.4838404674404108E-2</v>
      </c>
    </row>
    <row r="23" spans="2:3">
      <c r="B23" s="229" t="s">
        <v>1187</v>
      </c>
      <c r="C23" s="236">
        <f>VLOOKUP(B23,'AGGREGATES by country'!B:J,9,0)</f>
        <v>7.7739013999811618E-2</v>
      </c>
    </row>
    <row r="24" spans="2:3">
      <c r="B24" s="229" t="s">
        <v>1645</v>
      </c>
      <c r="C24" s="236">
        <f>VLOOKUP(B24,'AGGREGATES by country'!B:J,9,0)</f>
        <v>6.9978413803567049E-2</v>
      </c>
    </row>
    <row r="25" spans="2:3">
      <c r="B25" s="229" t="s">
        <v>701</v>
      </c>
      <c r="C25" s="236">
        <f>VLOOKUP(B25,'AGGREGATES by country'!B:J,9,0)</f>
        <v>4.2997156139826562E-2</v>
      </c>
    </row>
    <row r="26" spans="2:3">
      <c r="B26" s="229" t="s">
        <v>464</v>
      </c>
      <c r="C26" s="236">
        <f>VLOOKUP(B26,'AGGREGATES by country'!B:J,9,0)</f>
        <v>4.2313057024944506E-2</v>
      </c>
    </row>
    <row r="27" spans="2:3">
      <c r="B27" s="229" t="s">
        <v>296</v>
      </c>
      <c r="C27" s="236">
        <f>VLOOKUP(B27,'AGGREGATES by country'!B:J,9,0)</f>
        <v>3.8932644343097386E-2</v>
      </c>
    </row>
    <row r="28" spans="2:3">
      <c r="B28" s="229" t="s">
        <v>963</v>
      </c>
      <c r="C28" s="236">
        <f>VLOOKUP(B28,'AGGREGATES by country'!B:J,9,0)</f>
        <v>3.0767743553780924E-2</v>
      </c>
    </row>
    <row r="29" spans="2:3">
      <c r="B29" s="229" t="s">
        <v>1036</v>
      </c>
      <c r="C29" s="236">
        <f>VLOOKUP(B29,'AGGREGATES by country'!B:J,9,0)</f>
        <v>2.7436035105537462E-2</v>
      </c>
    </row>
    <row r="30" spans="2:3">
      <c r="B30" s="229" t="s">
        <v>1215</v>
      </c>
      <c r="C30" s="236">
        <f>VLOOKUP(B30,'AGGREGATES by country'!B:J,9,0)</f>
        <v>2.2075242152728405E-2</v>
      </c>
    </row>
    <row r="31" spans="2:3">
      <c r="B31" s="216" t="s">
        <v>189</v>
      </c>
      <c r="C31" s="236">
        <f>VLOOKUP(B31,'AGGREGATES by country'!B:J,9,0)</f>
        <v>1.8515489654462123E-2</v>
      </c>
    </row>
    <row r="32" spans="2:3">
      <c r="B32" s="229" t="s">
        <v>1546</v>
      </c>
      <c r="C32" s="236">
        <f>VLOOKUP(B32,'AGGREGATES by country'!B:J,9,0)</f>
        <v>1.7166850200867487E-2</v>
      </c>
    </row>
    <row r="33" spans="2:8">
      <c r="B33" s="240" t="s">
        <v>1006</v>
      </c>
      <c r="C33" s="236">
        <f>VLOOKUP(B33,'AGGREGATES by country'!B:J,9,0)</f>
        <v>1.6783449208596608E-2</v>
      </c>
    </row>
    <row r="34" spans="2:8">
      <c r="B34" s="240" t="s">
        <v>257</v>
      </c>
      <c r="C34" s="236">
        <f>VLOOKUP(B34,'AGGREGATES by country'!B:J,9,0)</f>
        <v>1.4263323934555743E-2</v>
      </c>
    </row>
    <row r="35" spans="2:8">
      <c r="B35" s="240" t="s">
        <v>1080</v>
      </c>
      <c r="C35" s="236">
        <f>VLOOKUP(B35,'AGGREGATES by country'!B:J,9,0)</f>
        <v>1.3918417337942888E-2</v>
      </c>
    </row>
    <row r="36" spans="2:8">
      <c r="B36" s="229" t="s">
        <v>490</v>
      </c>
      <c r="C36" s="236">
        <f>VLOOKUP(B36,'AGGREGATES by country'!B:J,9,0)</f>
        <v>1.0271141059577086E-2</v>
      </c>
    </row>
    <row r="37" spans="2:8">
      <c r="B37" s="229" t="s">
        <v>1207</v>
      </c>
      <c r="C37" s="236">
        <f>VLOOKUP(B37,'AGGREGATES by country'!B:J,9,0)</f>
        <v>8.2909025368359396E-3</v>
      </c>
    </row>
    <row r="38" spans="2:8">
      <c r="B38" s="216" t="s">
        <v>1694</v>
      </c>
      <c r="C38" s="236">
        <f>VLOOKUP(B38,'AGGREGATES by country'!B:J,9,0)</f>
        <v>8.2293636405019362E-3</v>
      </c>
    </row>
    <row r="39" spans="2:8">
      <c r="B39" s="216" t="s">
        <v>1273</v>
      </c>
      <c r="C39" s="236">
        <f>VLOOKUP(B39,'AGGREGATES by country'!B:J,9,0)</f>
        <v>8.1294126439654876E-3</v>
      </c>
    </row>
    <row r="40" spans="2:8">
      <c r="B40" s="229" t="s">
        <v>1587</v>
      </c>
      <c r="C40" s="236">
        <f>VLOOKUP(B40,'AGGREGATES by country'!B:J,9,0)</f>
        <v>6.685573566609428E-3</v>
      </c>
    </row>
    <row r="41" spans="2:8">
      <c r="B41" s="216" t="s">
        <v>329</v>
      </c>
      <c r="C41" s="236">
        <f>VLOOKUP(B41,'AGGREGATES by country'!B:J,9,0)</f>
        <v>6.5039039094326829E-3</v>
      </c>
    </row>
    <row r="42" spans="2:8">
      <c r="B42" s="240" t="s">
        <v>1478</v>
      </c>
      <c r="C42" s="236">
        <f>VLOOKUP(B42,'AGGREGATES by country'!B:J,9,0)</f>
        <v>4.0926835375548901E-3</v>
      </c>
    </row>
    <row r="43" spans="2:8">
      <c r="B43" s="216" t="s">
        <v>1449</v>
      </c>
      <c r="C43" s="236">
        <f>VLOOKUP(B43,'AGGREGATES by country'!B:J,9,0)</f>
        <v>2.7339956500066873E-3</v>
      </c>
    </row>
    <row r="44" spans="2:8">
      <c r="B44" s="216" t="s">
        <v>1721</v>
      </c>
      <c r="C44" s="243">
        <f>VLOOKUP(B44,'AGGREGATES by country'!B:J,9,0)</f>
        <v>2.0419231322120718E-3</v>
      </c>
      <c r="D44" s="216"/>
    </row>
    <row r="45" spans="2:8">
      <c r="B45" s="216" t="s">
        <v>998</v>
      </c>
      <c r="C45" s="243">
        <f>VLOOKUP(B45,'AGGREGATES by country'!B:J,9,0)</f>
        <v>7.029427083072261E-5</v>
      </c>
    </row>
    <row r="46" spans="2:8" ht="15.75" customHeight="1">
      <c r="B46" s="216" t="s">
        <v>1702</v>
      </c>
      <c r="C46" s="243">
        <f>VLOOKUP(B46,'AGGREGATES by country'!B:J,9,0)</f>
        <v>2.70130838967487E-5</v>
      </c>
      <c r="D46" s="235"/>
      <c r="E46" s="235"/>
      <c r="F46" s="235"/>
      <c r="G46" s="235"/>
      <c r="H46" s="235"/>
    </row>
    <row r="47" spans="2:8" ht="15" customHeight="1">
      <c r="B47" s="500" t="s">
        <v>456</v>
      </c>
      <c r="C47" s="501">
        <f>VLOOKUP(B47,'AGGREGATES by country'!B:J,9,0)</f>
        <v>1.5218288885473542E-5</v>
      </c>
      <c r="D47" s="235"/>
      <c r="E47" s="235"/>
      <c r="F47" s="235"/>
      <c r="G47" s="235"/>
      <c r="H47" s="235"/>
    </row>
    <row r="48" spans="2:8" ht="15" customHeight="1">
      <c r="D48" s="235"/>
      <c r="E48" s="235"/>
      <c r="F48" s="235"/>
      <c r="G48" s="235"/>
      <c r="H48" s="235"/>
    </row>
    <row r="49" spans="2:16" ht="15" customHeight="1">
      <c r="D49" s="235"/>
      <c r="E49" s="235"/>
      <c r="F49" s="235"/>
      <c r="G49" s="235"/>
      <c r="H49" s="235"/>
    </row>
    <row r="50" spans="2:16" ht="15" customHeight="1">
      <c r="B50" s="409" t="s">
        <v>2717</v>
      </c>
      <c r="C50" s="410">
        <f>SUM(C8:C47)</f>
        <v>4.4232236290759612</v>
      </c>
      <c r="D50" s="411"/>
      <c r="E50" s="235"/>
      <c r="F50" s="235"/>
      <c r="G50" s="235"/>
      <c r="H50" s="235"/>
    </row>
    <row r="51" spans="2:16" ht="15" customHeight="1">
      <c r="D51" s="235"/>
      <c r="E51" s="235"/>
      <c r="F51" s="235"/>
      <c r="G51" s="235"/>
      <c r="H51" s="235"/>
    </row>
    <row r="52" spans="2:16" ht="15" customHeight="1">
      <c r="D52" s="235"/>
      <c r="E52" s="235"/>
      <c r="F52" s="235"/>
      <c r="G52" s="235"/>
      <c r="H52" s="235"/>
      <c r="I52" s="235"/>
      <c r="J52" s="235"/>
      <c r="K52" s="235"/>
      <c r="L52" s="235"/>
      <c r="M52" s="235"/>
    </row>
    <row r="53" spans="2:16" ht="15" customHeight="1">
      <c r="D53" s="235"/>
      <c r="E53" s="235"/>
      <c r="F53" s="235"/>
      <c r="G53" s="1001" t="s">
        <v>2726</v>
      </c>
      <c r="H53" s="1001"/>
      <c r="I53" s="1001"/>
      <c r="J53" s="1001"/>
      <c r="K53" s="1001"/>
      <c r="L53" s="1001"/>
      <c r="M53" s="1001"/>
      <c r="N53" s="1001"/>
      <c r="O53" s="1001"/>
      <c r="P53" s="1001"/>
    </row>
    <row r="54" spans="2:16" ht="15" customHeight="1">
      <c r="D54" s="235"/>
      <c r="E54" s="235"/>
      <c r="F54" s="235"/>
      <c r="G54" s="1001"/>
      <c r="H54" s="1001"/>
      <c r="I54" s="1001"/>
      <c r="J54" s="1001"/>
      <c r="K54" s="1001"/>
      <c r="L54" s="1001"/>
      <c r="M54" s="1001"/>
      <c r="N54" s="1001"/>
      <c r="O54" s="1001"/>
      <c r="P54" s="1001"/>
    </row>
    <row r="55" spans="2:16">
      <c r="G55" s="1001"/>
      <c r="H55" s="1001"/>
      <c r="I55" s="1001"/>
      <c r="J55" s="1001"/>
      <c r="K55" s="1001"/>
      <c r="L55" s="1001"/>
      <c r="M55" s="1001"/>
      <c r="N55" s="1001"/>
      <c r="O55" s="1001"/>
      <c r="P55" s="1001"/>
    </row>
    <row r="56" spans="2:16">
      <c r="G56" s="1001"/>
      <c r="H56" s="1001"/>
      <c r="I56" s="1001"/>
      <c r="J56" s="1001"/>
      <c r="K56" s="1001"/>
      <c r="L56" s="1001"/>
      <c r="M56" s="1001"/>
      <c r="N56" s="1001"/>
      <c r="O56" s="1001"/>
      <c r="P56" s="1001"/>
    </row>
    <row r="57" spans="2:16">
      <c r="G57" s="1001"/>
      <c r="H57" s="1001"/>
      <c r="I57" s="1001"/>
      <c r="J57" s="1001"/>
      <c r="K57" s="1001"/>
      <c r="L57" s="1001"/>
      <c r="M57" s="1001"/>
      <c r="N57" s="1001"/>
      <c r="O57" s="1001"/>
      <c r="P57" s="1001"/>
    </row>
    <row r="58" spans="2:16">
      <c r="G58" s="1001"/>
      <c r="H58" s="1001"/>
      <c r="I58" s="1001"/>
      <c r="J58" s="1001"/>
      <c r="K58" s="1001"/>
      <c r="L58" s="1001"/>
      <c r="M58" s="1001"/>
      <c r="N58" s="1001"/>
      <c r="O58" s="1001"/>
      <c r="P58" s="1001"/>
    </row>
  </sheetData>
  <autoFilter ref="B7:C7" xr:uid="{00000000-0009-0000-0000-00000A000000}">
    <sortState xmlns:xlrd2="http://schemas.microsoft.com/office/spreadsheetml/2017/richdata2" ref="B8:C47">
      <sortCondition descending="1" ref="C7"/>
    </sortState>
  </autoFilter>
  <sortState xmlns:xlrd2="http://schemas.microsoft.com/office/spreadsheetml/2017/richdata2" ref="B8:D44">
    <sortCondition descending="1" ref="C8:C44"/>
  </sortState>
  <mergeCells count="1">
    <mergeCell ref="G53:P5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00"/>
  </sheetPr>
  <dimension ref="B4:T59"/>
  <sheetViews>
    <sheetView showGridLines="0" topLeftCell="E1" zoomScale="60" zoomScaleNormal="60" workbookViewId="0">
      <selection activeCell="G4" sqref="G4"/>
    </sheetView>
  </sheetViews>
  <sheetFormatPr defaultColWidth="11.5" defaultRowHeight="15.75"/>
  <cols>
    <col min="1" max="1" width="5" style="208" customWidth="1"/>
    <col min="2" max="2" width="26.375" style="208" bestFit="1" customWidth="1"/>
    <col min="3" max="3" width="24.125" style="236" customWidth="1"/>
    <col min="4" max="4" width="84.375" style="236" bestFit="1" customWidth="1"/>
    <col min="5" max="5" width="32.375" style="236" bestFit="1" customWidth="1"/>
    <col min="6" max="6" width="11.5" style="208" customWidth="1"/>
    <col min="7" max="7" width="11.5" style="208"/>
    <col min="8" max="8" width="12.5" style="208" customWidth="1"/>
    <col min="9" max="16384" width="11.5" style="208"/>
  </cols>
  <sheetData>
    <row r="4" spans="2:17">
      <c r="I4" s="211"/>
      <c r="J4" s="211"/>
      <c r="K4" s="211"/>
      <c r="L4" s="211"/>
      <c r="M4" s="211"/>
      <c r="N4" s="211"/>
      <c r="O4" s="211"/>
      <c r="P4" s="211"/>
      <c r="Q4" s="211"/>
    </row>
    <row r="5" spans="2:17" s="211" customFormat="1" ht="21">
      <c r="B5" s="210" t="s">
        <v>2723</v>
      </c>
      <c r="C5" s="237"/>
      <c r="D5" s="237"/>
      <c r="E5" s="237"/>
      <c r="F5" s="1003"/>
      <c r="G5" s="1003"/>
      <c r="H5" s="452" t="s">
        <v>2727</v>
      </c>
    </row>
    <row r="6" spans="2:17">
      <c r="F6" s="241"/>
      <c r="G6" s="241"/>
    </row>
    <row r="7" spans="2:17">
      <c r="B7" s="238" t="s">
        <v>2156</v>
      </c>
      <c r="C7" s="239" t="s">
        <v>2728</v>
      </c>
      <c r="D7" s="242" t="s">
        <v>2729</v>
      </c>
      <c r="E7" s="242" t="s">
        <v>2730</v>
      </c>
      <c r="F7" s="252"/>
      <c r="G7" s="252"/>
    </row>
    <row r="8" spans="2:17">
      <c r="B8" s="229" t="s">
        <v>666</v>
      </c>
      <c r="C8" s="236">
        <f>VLOOKUP(B8,'AGGREGATES by country'!B:J,9,0)</f>
        <v>0.86081273274739001</v>
      </c>
      <c r="D8" s="236">
        <f>VLOOKUP(B8,'AGGREGATES by country'!B:O,14,0)</f>
        <v>0.10009684763717641</v>
      </c>
      <c r="E8" s="236">
        <f>VLOOKUP(B8,'AGGREGATES by country'!B:Q,16,0)</f>
        <v>0.96090958038456631</v>
      </c>
    </row>
    <row r="9" spans="2:17">
      <c r="B9" s="240" t="s">
        <v>1119</v>
      </c>
      <c r="C9" s="243">
        <f>VLOOKUP(B9,'AGGREGATES by country'!B:J,9,0)</f>
        <v>0.73674439959035609</v>
      </c>
      <c r="D9" s="243">
        <f>VLOOKUP(B9,'AGGREGATES by country'!B:O,14,0)</f>
        <v>9.5619318631889411E-2</v>
      </c>
      <c r="E9" s="243">
        <f>VLOOKUP(B9,'AGGREGATES by country'!B:Q,16,0)</f>
        <v>0.83236371822224542</v>
      </c>
    </row>
    <row r="10" spans="2:17">
      <c r="B10" s="229" t="s">
        <v>1364</v>
      </c>
      <c r="C10" s="236">
        <f>VLOOKUP(B10,'AGGREGATES by country'!B:J,9,0)</f>
        <v>0.50554636366421735</v>
      </c>
      <c r="D10" s="236">
        <f>VLOOKUP(B10,'AGGREGATES by country'!B:O,14,0)</f>
        <v>0.11641613380043592</v>
      </c>
      <c r="E10" s="236">
        <f>VLOOKUP(B10,'AGGREGATES by country'!B:Q,16,0)</f>
        <v>0.62196249746465337</v>
      </c>
    </row>
    <row r="11" spans="2:17">
      <c r="B11" s="229" t="s">
        <v>1507</v>
      </c>
      <c r="C11" s="236">
        <f>VLOOKUP(B11,'AGGREGATES by country'!B:J,9,0)</f>
        <v>0.16933732524909542</v>
      </c>
      <c r="D11" s="236">
        <f>VLOOKUP(B11,'AGGREGATES by country'!B:O,14,0)</f>
        <v>0.12905840675204339</v>
      </c>
      <c r="E11" s="236">
        <f>VLOOKUP(B11,'AGGREGATES by country'!B:Q,16,0)</f>
        <v>0.29839573200113878</v>
      </c>
    </row>
    <row r="12" spans="2:17">
      <c r="B12" s="229" t="s">
        <v>1147</v>
      </c>
      <c r="C12" s="236">
        <f>VLOOKUP(B12,'AGGREGATES by country'!B:J,9,0)</f>
        <v>0.18954865124491221</v>
      </c>
      <c r="D12" s="236">
        <f>VLOOKUP(B12,'AGGREGATES by country'!B:O,14,0)</f>
        <v>9.1508467795705956E-2</v>
      </c>
      <c r="E12" s="236">
        <f>VLOOKUP(B12,'AGGREGATES by country'!B:Q,16,0)</f>
        <v>0.28105711904061814</v>
      </c>
    </row>
    <row r="13" spans="2:17">
      <c r="B13" s="229" t="s">
        <v>926</v>
      </c>
      <c r="C13" s="236">
        <f>VLOOKUP(B13,'AGGREGATES by country'!B:J,9,0)</f>
        <v>0.13831696526918708</v>
      </c>
      <c r="D13" s="236">
        <f>VLOOKUP(B13,'AGGREGATES by country'!B:O,14,0)</f>
        <v>0.12415658032490079</v>
      </c>
      <c r="E13" s="236">
        <f>VLOOKUP(B13,'AGGREGATES by country'!B:Q,16,0)</f>
        <v>0.26247354559408786</v>
      </c>
    </row>
    <row r="14" spans="2:17">
      <c r="B14" s="229" t="s">
        <v>503</v>
      </c>
      <c r="C14" s="236">
        <f>VLOOKUP(B14,'AGGREGATES by country'!B:J,9,0)</f>
        <v>0.15520304766791065</v>
      </c>
      <c r="D14" s="236">
        <f>VLOOKUP(B14,'AGGREGATES by country'!B:O,14,0)</f>
        <v>9.5067243793328732E-2</v>
      </c>
      <c r="E14" s="236">
        <f>VLOOKUP(B14,'AGGREGATES by country'!B:Q,16,0)</f>
        <v>0.25027029146123936</v>
      </c>
    </row>
    <row r="15" spans="2:17">
      <c r="B15" s="229" t="s">
        <v>1741</v>
      </c>
      <c r="C15" s="236">
        <f>VLOOKUP(B15,'AGGREGATES by country'!B:J,9,0)</f>
        <v>0.23790084532895767</v>
      </c>
      <c r="D15" s="236">
        <f>VLOOKUP(B15,'AGGREGATES by country'!B:O,14,0)</f>
        <v>0</v>
      </c>
      <c r="E15" s="236">
        <f>VLOOKUP(B15,'AGGREGATES by country'!B:Q,16,0)</f>
        <v>0.23790084532895767</v>
      </c>
    </row>
    <row r="16" spans="2:17">
      <c r="B16" s="229" t="s">
        <v>1408</v>
      </c>
      <c r="C16" s="236">
        <f>VLOOKUP(B16,'AGGREGATES by country'!B:J,9,0)</f>
        <v>0.1201040522624147</v>
      </c>
      <c r="D16" s="236">
        <f>VLOOKUP(B16,'AGGREGATES by country'!B:O,14,0)</f>
        <v>0.10047546589774736</v>
      </c>
      <c r="E16" s="236">
        <f>VLOOKUP(B16,'AGGREGATES by country'!B:Q,16,0)</f>
        <v>0.22057951816016208</v>
      </c>
    </row>
    <row r="17" spans="2:6">
      <c r="B17" s="229" t="s">
        <v>618</v>
      </c>
      <c r="C17" s="236">
        <f>VLOOKUP(B17,'AGGREGATES by country'!B:J,9,0)</f>
        <v>9.674204988249431E-2</v>
      </c>
      <c r="D17" s="236">
        <f>VLOOKUP(B17,'AGGREGATES by country'!B:O,14,0)</f>
        <v>0.11825527068429367</v>
      </c>
      <c r="E17" s="236">
        <f>VLOOKUP(B17,'AGGREGATES by country'!B:Q,16,0)</f>
        <v>0.21499732056678797</v>
      </c>
    </row>
    <row r="18" spans="2:6">
      <c r="B18" s="229" t="s">
        <v>1837</v>
      </c>
      <c r="C18" s="236">
        <f>VLOOKUP(B18,'AGGREGATES by country'!B:J,9,0)</f>
        <v>0.21477063422911147</v>
      </c>
      <c r="D18" s="236">
        <f>VLOOKUP(B18,'AGGREGATES by country'!B:O,14,0)</f>
        <v>0</v>
      </c>
      <c r="E18" s="236">
        <f>VLOOKUP(B18,'AGGREGATES by country'!B:Q,16,0)</f>
        <v>0.21477063422911147</v>
      </c>
    </row>
    <row r="19" spans="2:6">
      <c r="B19" s="229" t="s">
        <v>763</v>
      </c>
      <c r="C19" s="236">
        <f>VLOOKUP(B19,'AGGREGATES by country'!B:J,9,0)</f>
        <v>8.4838404674404108E-2</v>
      </c>
      <c r="D19" s="236">
        <f>VLOOKUP(B19,'AGGREGATES by country'!B:O,14,0)</f>
        <v>0.10888184686400326</v>
      </c>
      <c r="E19" s="236">
        <f>VLOOKUP(B19,'AGGREGATES by country'!B:Q,16,0)</f>
        <v>0.19372025153840738</v>
      </c>
    </row>
    <row r="20" spans="2:6">
      <c r="B20" s="229" t="s">
        <v>840</v>
      </c>
      <c r="C20" s="236">
        <f>VLOOKUP(B20,'AGGREGATES by country'!B:J,9,0)</f>
        <v>9.1683909963377233E-2</v>
      </c>
      <c r="D20" s="236">
        <f>VLOOKUP(B20,'AGGREGATES by country'!B:O,14,0)</f>
        <v>8.9163534778704825E-2</v>
      </c>
      <c r="E20" s="236">
        <f>VLOOKUP(B20,'AGGREGATES by country'!B:Q,16,0)</f>
        <v>0.18084744474208206</v>
      </c>
    </row>
    <row r="21" spans="2:6">
      <c r="B21" s="229" t="s">
        <v>1645</v>
      </c>
      <c r="C21" s="236">
        <f>VLOOKUP(B21,'AGGREGATES by country'!B:J,9,0)</f>
        <v>6.9978413803567049E-2</v>
      </c>
      <c r="D21" s="236">
        <f>VLOOKUP(B21,'AGGREGATES by country'!B:O,14,0)</f>
        <v>0.1041994492973369</v>
      </c>
      <c r="E21" s="236">
        <f>VLOOKUP(B21,'AGGREGATES by country'!B:Q,16,0)</f>
        <v>0.17417786310090394</v>
      </c>
    </row>
    <row r="22" spans="2:6">
      <c r="B22" s="229" t="s">
        <v>350</v>
      </c>
      <c r="C22" s="236">
        <f>VLOOKUP(B22,'AGGREGATES by country'!B:J,9,0)</f>
        <v>0.16752212744448169</v>
      </c>
      <c r="D22" s="236">
        <f>VLOOKUP(B22,'AGGREGATES by country'!B:O,14,0)</f>
        <v>0</v>
      </c>
      <c r="E22" s="236">
        <f>VLOOKUP(B22,'AGGREGATES by country'!B:Q,16,0)</f>
        <v>0.16752212744448172</v>
      </c>
    </row>
    <row r="23" spans="2:6">
      <c r="B23" s="216" t="s">
        <v>1306</v>
      </c>
      <c r="C23" s="236">
        <f>VLOOKUP(B23,'AGGREGATES by country'!B:J,9,0)</f>
        <v>0.16417385807762389</v>
      </c>
      <c r="D23" s="236">
        <f>VLOOKUP(B23,'AGGREGATES by country'!B:O,14,0)</f>
        <v>0</v>
      </c>
      <c r="E23" s="236">
        <f>VLOOKUP(B23,'AGGREGATES by country'!B:Q,16,0)</f>
        <v>0.16417385807762389</v>
      </c>
    </row>
    <row r="24" spans="2:6">
      <c r="B24" s="229" t="s">
        <v>464</v>
      </c>
      <c r="C24" s="236">
        <f>VLOOKUP(B24,'AGGREGATES by country'!B:J,9,0)</f>
        <v>4.2313057024944506E-2</v>
      </c>
      <c r="D24" s="236">
        <f>VLOOKUP(B24,'AGGREGATES by country'!B:O,14,0)</f>
        <v>0.12073375411805691</v>
      </c>
      <c r="E24" s="236">
        <f>VLOOKUP(B24,'AGGREGATES by country'!B:Q,16,0)</f>
        <v>0.16304681114300137</v>
      </c>
    </row>
    <row r="25" spans="2:6">
      <c r="B25" s="229" t="s">
        <v>296</v>
      </c>
      <c r="C25" s="236">
        <f>VLOOKUP(B25,'AGGREGATES by country'!B:J,9,0)</f>
        <v>3.8932644343097386E-2</v>
      </c>
      <c r="D25" s="236">
        <f>VLOOKUP(B25,'AGGREGATES by country'!B:O,14,0)</f>
        <v>0.11797241795625504</v>
      </c>
      <c r="E25" s="236">
        <f>VLOOKUP(B25,'AGGREGATES by country'!B:Q,16,0)</f>
        <v>0.15690506229935244</v>
      </c>
      <c r="F25" s="216"/>
    </row>
    <row r="26" spans="2:6">
      <c r="B26" s="229" t="s">
        <v>1215</v>
      </c>
      <c r="C26" s="236">
        <f>VLOOKUP(B26,'AGGREGATES by country'!B:J,9,0)</f>
        <v>2.2075242152728405E-2</v>
      </c>
      <c r="D26" s="236">
        <f>VLOOKUP(B26,'AGGREGATES by country'!B:O,14,0)</f>
        <v>0.13257796319668591</v>
      </c>
      <c r="E26" s="236">
        <f>VLOOKUP(B26,'AGGREGATES by country'!B:Q,16,0)</f>
        <v>0.15465320534941432</v>
      </c>
    </row>
    <row r="27" spans="2:6">
      <c r="B27" s="229" t="s">
        <v>1587</v>
      </c>
      <c r="C27" s="236">
        <f>VLOOKUP(B27,'AGGREGATES by country'!B:J,9,0)</f>
        <v>6.685573566609428E-3</v>
      </c>
      <c r="D27" s="236">
        <f>VLOOKUP(B27,'AGGREGATES by country'!B:O,14,0)</f>
        <v>0.14734977798397417</v>
      </c>
      <c r="E27" s="236">
        <f>VLOOKUP(B27,'AGGREGATES by country'!B:Q,16,0)</f>
        <v>0.15403535155058362</v>
      </c>
    </row>
    <row r="28" spans="2:6">
      <c r="B28" s="229" t="s">
        <v>963</v>
      </c>
      <c r="C28" s="236">
        <f>VLOOKUP(B28,'AGGREGATES by country'!B:J,9,0)</f>
        <v>3.0767743553780924E-2</v>
      </c>
      <c r="D28" s="236">
        <f>VLOOKUP(B28,'AGGREGATES by country'!B:O,14,0)</f>
        <v>0.1192298813725599</v>
      </c>
      <c r="E28" s="236">
        <f>VLOOKUP(B28,'AGGREGATES by country'!B:Q,16,0)</f>
        <v>0.14999762492634081</v>
      </c>
    </row>
    <row r="29" spans="2:6">
      <c r="B29" s="229" t="s">
        <v>701</v>
      </c>
      <c r="C29" s="236">
        <f>VLOOKUP(B29,'AGGREGATES by country'!B:J,9,0)</f>
        <v>4.2997156139826562E-2</v>
      </c>
      <c r="D29" s="236">
        <f>VLOOKUP(B29,'AGGREGATES by country'!B:O,14,0)</f>
        <v>0.10398977151574143</v>
      </c>
      <c r="E29" s="236">
        <f>VLOOKUP(B29,'AGGREGATES by country'!B:Q,16,0)</f>
        <v>0.14698692765556801</v>
      </c>
    </row>
    <row r="30" spans="2:6">
      <c r="B30" s="229" t="s">
        <v>1187</v>
      </c>
      <c r="C30" s="236">
        <f>VLOOKUP(B30,'AGGREGATES by country'!B:J,9,0)</f>
        <v>7.7739013999811618E-2</v>
      </c>
      <c r="D30" s="236">
        <f>VLOOKUP(B30,'AGGREGATES by country'!B:O,14,0)</f>
        <v>6.7488075576048537E-2</v>
      </c>
      <c r="E30" s="236">
        <f>VLOOKUP(B30,'AGGREGATES by country'!B:Q,16,0)</f>
        <v>0.14522708957586014</v>
      </c>
      <c r="F30" s="216"/>
    </row>
    <row r="31" spans="2:6">
      <c r="B31" s="229" t="s">
        <v>1036</v>
      </c>
      <c r="C31" s="236">
        <f>VLOOKUP(B31,'AGGREGATES by country'!B:J,9,0)</f>
        <v>2.7436035105537462E-2</v>
      </c>
      <c r="D31" s="236">
        <f>VLOOKUP(B31,'AGGREGATES by country'!B:O,14,0)</f>
        <v>0.11520809320480166</v>
      </c>
      <c r="E31" s="236">
        <f>VLOOKUP(B31,'AGGREGATES by country'!B:Q,16,0)</f>
        <v>0.14264412831033912</v>
      </c>
    </row>
    <row r="32" spans="2:6">
      <c r="B32" s="216" t="s">
        <v>329</v>
      </c>
      <c r="C32" s="236">
        <f>VLOOKUP(B32,'AGGREGATES by country'!B:J,9,0)</f>
        <v>6.5039039094326829E-3</v>
      </c>
      <c r="D32" s="236">
        <f>VLOOKUP(B32,'AGGREGATES by country'!B:O,14,0)</f>
        <v>0.13066877353642994</v>
      </c>
      <c r="E32" s="236">
        <f>VLOOKUP(B32,'AGGREGATES by country'!B:Q,16,0)</f>
        <v>0.13717267744586265</v>
      </c>
    </row>
    <row r="33" spans="2:17">
      <c r="B33" s="229" t="s">
        <v>1546</v>
      </c>
      <c r="C33" s="236">
        <f>VLOOKUP(B33,'AGGREGATES by country'!B:J,9,0)</f>
        <v>1.7166850200867487E-2</v>
      </c>
      <c r="D33" s="236">
        <f>VLOOKUP(B33,'AGGREGATES by country'!B:O,14,0)</f>
        <v>0.10800243775892569</v>
      </c>
      <c r="E33" s="236">
        <f>VLOOKUP(B33,'AGGREGATES by country'!B:Q,16,0)</f>
        <v>0.12516928795979318</v>
      </c>
    </row>
    <row r="34" spans="2:17">
      <c r="B34" s="240" t="s">
        <v>257</v>
      </c>
      <c r="C34" s="236">
        <f>VLOOKUP(B34,'AGGREGATES by country'!B:J,9,0)</f>
        <v>1.4263323934555743E-2</v>
      </c>
      <c r="D34" s="236">
        <f>VLOOKUP(B34,'AGGREGATES by country'!B:O,14,0)</f>
        <v>0.11016571853018985</v>
      </c>
      <c r="E34" s="236">
        <f>VLOOKUP(B34,'AGGREGATES by country'!B:Q,16,0)</f>
        <v>0.12442904246474558</v>
      </c>
    </row>
    <row r="35" spans="2:17">
      <c r="B35" s="229" t="s">
        <v>490</v>
      </c>
      <c r="C35" s="236">
        <f>VLOOKUP(B35,'AGGREGATES by country'!B:J,9,0)</f>
        <v>1.0271141059577086E-2</v>
      </c>
      <c r="D35" s="236">
        <f>VLOOKUP(B35,'AGGREGATES by country'!B:O,14,0)</f>
        <v>0.10332716263225165</v>
      </c>
      <c r="E35" s="236">
        <f>VLOOKUP(B35,'AGGREGATES by country'!B:Q,16,0)</f>
        <v>0.11359830369182873</v>
      </c>
    </row>
    <row r="36" spans="2:17">
      <c r="B36" s="240" t="s">
        <v>1478</v>
      </c>
      <c r="C36" s="236">
        <f>VLOOKUP(B36,'AGGREGATES by country'!B:J,9,0)</f>
        <v>4.0926835375548901E-3</v>
      </c>
      <c r="D36" s="236">
        <f>VLOOKUP(B36,'AGGREGATES by country'!B:O,14,0)</f>
        <v>0.10168250004645384</v>
      </c>
      <c r="E36" s="236">
        <f>VLOOKUP(B36,'AGGREGATES by country'!B:Q,16,0)</f>
        <v>0.10577518358400873</v>
      </c>
    </row>
    <row r="37" spans="2:17">
      <c r="B37" s="229" t="s">
        <v>1207</v>
      </c>
      <c r="C37" s="236">
        <f>VLOOKUP(B37,'AGGREGATES by country'!B:J,9,0)</f>
        <v>8.2909025368359396E-3</v>
      </c>
      <c r="D37" s="236">
        <f>VLOOKUP(B37,'AGGREGATES by country'!B:O,14,0)</f>
        <v>9.0148391103689426E-2</v>
      </c>
      <c r="E37" s="236">
        <f>VLOOKUP(B37,'AGGREGATES by country'!B:Q,16,0)</f>
        <v>9.8439293640525366E-2</v>
      </c>
    </row>
    <row r="38" spans="2:17">
      <c r="B38" s="240" t="s">
        <v>1006</v>
      </c>
      <c r="C38" s="236">
        <f>VLOOKUP(B38,'AGGREGATES by country'!B:J,9,0)</f>
        <v>1.6783449208596608E-2</v>
      </c>
      <c r="D38" s="236">
        <f>VLOOKUP(B38,'AGGREGATES by country'!B:O,14,0)</f>
        <v>7.256738358204097E-2</v>
      </c>
      <c r="E38" s="236">
        <f>VLOOKUP(B38,'AGGREGATES by country'!B:Q,16,0)</f>
        <v>8.9350832790637574E-2</v>
      </c>
    </row>
    <row r="39" spans="2:17">
      <c r="B39" s="216" t="s">
        <v>189</v>
      </c>
      <c r="C39" s="236">
        <f>VLOOKUP(B39,'AGGREGATES by country'!B:J,9,0)</f>
        <v>1.8515489654462123E-2</v>
      </c>
      <c r="D39" s="236">
        <f>VLOOKUP(B39,'AGGREGATES by country'!B:O,14,0)</f>
        <v>0</v>
      </c>
      <c r="E39" s="236">
        <f>VLOOKUP(B39,'AGGREGATES by country'!B:Q,16,0)</f>
        <v>1.8515489654462119E-2</v>
      </c>
      <c r="F39" s="216"/>
    </row>
    <row r="40" spans="2:17">
      <c r="B40" s="240" t="s">
        <v>1080</v>
      </c>
      <c r="C40" s="236">
        <f>VLOOKUP(B40,'AGGREGATES by country'!B:J,9,0)</f>
        <v>1.3918417337942888E-2</v>
      </c>
      <c r="D40" s="236">
        <f>VLOOKUP(B40,'AGGREGATES by country'!B:O,14,0)</f>
        <v>0</v>
      </c>
      <c r="E40" s="236">
        <f>VLOOKUP(B40,'AGGREGATES by country'!B:Q,16,0)</f>
        <v>1.3918417337942888E-2</v>
      </c>
      <c r="F40" s="216"/>
    </row>
    <row r="41" spans="2:17">
      <c r="B41" s="216" t="s">
        <v>1694</v>
      </c>
      <c r="C41" s="236">
        <f>VLOOKUP(B41,'AGGREGATES by country'!B:J,9,0)</f>
        <v>8.2293636405019362E-3</v>
      </c>
      <c r="D41" s="236">
        <f>VLOOKUP(B41,'AGGREGATES by country'!B:O,14,0)</f>
        <v>0</v>
      </c>
      <c r="E41" s="236">
        <f>VLOOKUP(B41,'AGGREGATES by country'!B:Q,16,0)</f>
        <v>8.2293636405019362E-3</v>
      </c>
      <c r="F41" s="216"/>
    </row>
    <row r="42" spans="2:17">
      <c r="B42" s="216" t="s">
        <v>1273</v>
      </c>
      <c r="C42" s="236">
        <f>VLOOKUP(B42,'AGGREGATES by country'!B:J,9,0)</f>
        <v>8.1294126439654876E-3</v>
      </c>
      <c r="D42" s="236">
        <f>VLOOKUP(B42,'AGGREGATES by country'!B:O,14,0)</f>
        <v>0</v>
      </c>
      <c r="E42" s="236">
        <f>VLOOKUP(B42,'AGGREGATES by country'!B:Q,16,0)</f>
        <v>8.1294126439654876E-3</v>
      </c>
      <c r="F42" s="216"/>
    </row>
    <row r="43" spans="2:17">
      <c r="B43" s="216" t="s">
        <v>1449</v>
      </c>
      <c r="C43" s="236">
        <f>VLOOKUP(B43,'AGGREGATES by country'!B:J,9,0)</f>
        <v>2.7339956500066873E-3</v>
      </c>
      <c r="D43" s="236">
        <f>VLOOKUP(B43,'AGGREGATES by country'!B:O,14,0)</f>
        <v>0</v>
      </c>
      <c r="E43" s="236">
        <f>VLOOKUP(B43,'AGGREGATES by country'!B:Q,16,0)</f>
        <v>2.7339956500066873E-3</v>
      </c>
      <c r="F43" s="216"/>
    </row>
    <row r="44" spans="2:17">
      <c r="B44" s="216" t="s">
        <v>1721</v>
      </c>
      <c r="C44" s="243">
        <f>VLOOKUP(B44,'AGGREGATES by country'!B:J,9,0)</f>
        <v>2.0419231322120718E-3</v>
      </c>
      <c r="D44" s="487">
        <f>VLOOKUP(B44,'AGGREGATES by country'!B:O,14,0)</f>
        <v>0</v>
      </c>
      <c r="E44" s="487">
        <f>VLOOKUP(B44,'AGGREGATES by country'!B:Q,16,0)</f>
        <v>2.0419231322120718E-3</v>
      </c>
      <c r="F44" s="216"/>
    </row>
    <row r="45" spans="2:17">
      <c r="B45" s="216" t="s">
        <v>998</v>
      </c>
      <c r="C45" s="243">
        <f>VLOOKUP(B45,'AGGREGATES by country'!B:J,9,0)</f>
        <v>7.029427083072261E-5</v>
      </c>
      <c r="D45" s="487">
        <f>VLOOKUP(B45,'AGGREGATES by country'!B:O,14,0)</f>
        <v>0</v>
      </c>
      <c r="E45" s="487">
        <f>VLOOKUP(B45,'AGGREGATES by country'!B:Q,16,0)</f>
        <v>7.029427083072261E-5</v>
      </c>
    </row>
    <row r="46" spans="2:17" ht="15.75" customHeight="1">
      <c r="B46" s="216" t="s">
        <v>1702</v>
      </c>
      <c r="C46" s="243">
        <f>VLOOKUP(B46,'AGGREGATES by country'!B:J,9,0)</f>
        <v>2.70130838967487E-5</v>
      </c>
      <c r="D46" s="243">
        <f>VLOOKUP(B46,'AGGREGATES by country'!B:O,14,0)</f>
        <v>0</v>
      </c>
      <c r="E46" s="243">
        <f>VLOOKUP(B46,'AGGREGATES by country'!B:Q,16,0)</f>
        <v>2.70130838967487E-5</v>
      </c>
      <c r="G46" s="235"/>
      <c r="H46" s="235"/>
      <c r="I46" s="235"/>
      <c r="J46" s="235"/>
      <c r="K46" s="235"/>
      <c r="L46" s="235"/>
      <c r="M46" s="235"/>
      <c r="N46" s="235"/>
      <c r="O46" s="235"/>
      <c r="P46" s="235"/>
    </row>
    <row r="47" spans="2:17" ht="15" customHeight="1">
      <c r="B47" s="500" t="s">
        <v>456</v>
      </c>
      <c r="C47" s="501">
        <f>VLOOKUP(B47,'AGGREGATES by country'!B:J,9,0)</f>
        <v>1.5218288885473542E-5</v>
      </c>
      <c r="D47" s="502">
        <f>VLOOKUP(B47,'AGGREGATES by country'!B:O,14,0)</f>
        <v>0</v>
      </c>
      <c r="E47" s="502">
        <f>VLOOKUP(B47,'AGGREGATES by country'!B:Q,16,0)</f>
        <v>1.5218288885473542E-5</v>
      </c>
      <c r="G47" s="235"/>
      <c r="H47" s="235"/>
      <c r="I47" s="235"/>
      <c r="J47" s="235"/>
      <c r="K47" s="1002"/>
      <c r="L47" s="1002"/>
      <c r="M47" s="1002"/>
      <c r="N47" s="1002"/>
      <c r="O47" s="1002"/>
      <c r="P47" s="1002"/>
      <c r="Q47" s="1002"/>
    </row>
    <row r="48" spans="2:17" ht="15" customHeight="1">
      <c r="G48" s="235"/>
      <c r="H48" s="235"/>
      <c r="I48" s="235"/>
      <c r="J48" s="235"/>
      <c r="K48" s="1002"/>
      <c r="L48" s="1002"/>
      <c r="M48" s="1002"/>
      <c r="N48" s="1002"/>
      <c r="O48" s="1002"/>
      <c r="P48" s="1002"/>
      <c r="Q48" s="1002"/>
    </row>
    <row r="49" spans="2:20" ht="15" customHeight="1">
      <c r="G49" s="235"/>
      <c r="H49" s="235"/>
      <c r="I49" s="235"/>
      <c r="J49" s="235"/>
      <c r="K49" s="1002"/>
      <c r="L49" s="1002"/>
      <c r="M49" s="1002"/>
      <c r="N49" s="1002"/>
      <c r="O49" s="1002"/>
      <c r="P49" s="1002"/>
      <c r="Q49" s="1002"/>
    </row>
    <row r="50" spans="2:20" ht="15" customHeight="1">
      <c r="B50" s="409" t="s">
        <v>2717</v>
      </c>
      <c r="C50" s="488">
        <f>SUM(C8:C47)</f>
        <v>4.4232236290759603</v>
      </c>
      <c r="D50" s="488">
        <f t="shared" ref="D50:E50" si="0">SUM(D8:D47)</f>
        <v>2.9140106683716716</v>
      </c>
      <c r="E50" s="488">
        <f t="shared" si="0"/>
        <v>7.3372342974476341</v>
      </c>
      <c r="G50" s="235"/>
      <c r="H50" s="235"/>
      <c r="I50" s="235"/>
      <c r="J50" s="235"/>
      <c r="K50" s="1002"/>
      <c r="L50" s="1002"/>
      <c r="M50" s="1002"/>
      <c r="N50" s="1002"/>
      <c r="O50" s="1002"/>
      <c r="P50" s="1002"/>
      <c r="Q50" s="1002"/>
    </row>
    <row r="51" spans="2:20" ht="15" customHeight="1">
      <c r="G51" s="235"/>
      <c r="H51" s="235"/>
      <c r="I51" s="235"/>
      <c r="J51" s="235"/>
      <c r="K51" s="1002"/>
      <c r="L51" s="1002"/>
      <c r="M51" s="1002"/>
      <c r="N51" s="1002"/>
      <c r="O51" s="1002"/>
      <c r="P51" s="1002"/>
      <c r="Q51" s="1002"/>
    </row>
    <row r="52" spans="2:20" ht="15" customHeight="1">
      <c r="G52" s="235"/>
      <c r="H52" s="235"/>
      <c r="I52" s="235"/>
      <c r="J52" s="235"/>
      <c r="K52" s="1002"/>
      <c r="L52" s="1002"/>
      <c r="M52" s="1002"/>
      <c r="N52" s="1002"/>
      <c r="O52" s="1002"/>
      <c r="P52" s="1002"/>
      <c r="Q52" s="1002"/>
    </row>
    <row r="53" spans="2:20" ht="15" customHeight="1">
      <c r="G53" s="235"/>
      <c r="H53" s="235"/>
      <c r="I53" s="235"/>
      <c r="J53" s="235"/>
      <c r="K53" s="235"/>
      <c r="L53" s="235"/>
      <c r="M53" s="235"/>
      <c r="N53" s="235"/>
      <c r="O53" s="235"/>
      <c r="P53" s="235"/>
    </row>
    <row r="54" spans="2:20" ht="15" customHeight="1">
      <c r="G54" s="235"/>
      <c r="H54" s="235"/>
      <c r="I54" s="235"/>
      <c r="J54" s="235"/>
      <c r="K54" s="235"/>
      <c r="L54" s="235"/>
      <c r="M54" s="235"/>
      <c r="N54" s="235"/>
      <c r="O54" s="235"/>
      <c r="P54" s="235"/>
    </row>
    <row r="58" spans="2:20">
      <c r="J58" s="1004" t="s">
        <v>2731</v>
      </c>
      <c r="K58" s="1004"/>
      <c r="L58" s="1004"/>
      <c r="M58" s="1004"/>
      <c r="N58" s="1004"/>
      <c r="O58" s="1004"/>
      <c r="P58" s="1004"/>
      <c r="Q58" s="1004"/>
      <c r="R58" s="1004"/>
      <c r="S58" s="1004"/>
      <c r="T58" s="1004"/>
    </row>
    <row r="59" spans="2:20">
      <c r="J59" s="1004"/>
      <c r="K59" s="1004"/>
      <c r="L59" s="1004"/>
      <c r="M59" s="1004"/>
      <c r="N59" s="1004"/>
      <c r="O59" s="1004"/>
      <c r="P59" s="1004"/>
      <c r="Q59" s="1004"/>
      <c r="R59" s="1004"/>
      <c r="S59" s="1004"/>
      <c r="T59" s="1004"/>
    </row>
  </sheetData>
  <sortState xmlns:xlrd2="http://schemas.microsoft.com/office/spreadsheetml/2017/richdata2" ref="B8:E47">
    <sortCondition descending="1" ref="E8:E47"/>
  </sortState>
  <mergeCells count="3">
    <mergeCell ref="K47:Q52"/>
    <mergeCell ref="F5:G5"/>
    <mergeCell ref="J58:T5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00"/>
  </sheetPr>
  <dimension ref="B3:Q80"/>
  <sheetViews>
    <sheetView showGridLines="0" topLeftCell="E1" zoomScale="60" zoomScaleNormal="60" workbookViewId="0">
      <selection activeCell="E8" sqref="E8"/>
    </sheetView>
  </sheetViews>
  <sheetFormatPr defaultColWidth="11.5" defaultRowHeight="15.75"/>
  <cols>
    <col min="1" max="1" width="5" style="266" customWidth="1"/>
    <col min="2" max="2" width="23.5" style="266" bestFit="1" customWidth="1"/>
    <col min="3" max="3" width="35.625" style="266" customWidth="1"/>
    <col min="4" max="4" width="26.375" style="266" customWidth="1"/>
    <col min="5" max="5" width="32" style="266" customWidth="1"/>
    <col min="6" max="6" width="12.125" style="266" bestFit="1" customWidth="1"/>
    <col min="7" max="7" width="10.625" style="266" customWidth="1"/>
    <col min="8" max="8" width="17.5" style="266" customWidth="1"/>
    <col min="9" max="9" width="15" style="266" customWidth="1"/>
    <col min="10" max="10" width="67.375" style="266" customWidth="1"/>
    <col min="11" max="16384" width="11.5" style="266"/>
  </cols>
  <sheetData>
    <row r="3" spans="2:13">
      <c r="K3" s="1005"/>
      <c r="L3" s="1005"/>
      <c r="M3" s="1005"/>
    </row>
    <row r="4" spans="2:13">
      <c r="K4" s="1005"/>
      <c r="L4" s="1005"/>
      <c r="M4" s="1005"/>
    </row>
    <row r="5" spans="2:13">
      <c r="B5" s="224" t="s">
        <v>2720</v>
      </c>
      <c r="C5" s="224"/>
      <c r="D5" s="268"/>
      <c r="E5" s="224"/>
    </row>
    <row r="6" spans="2:13" s="274" customFormat="1" ht="26.25">
      <c r="B6" s="266"/>
      <c r="C6" s="266"/>
      <c r="D6" s="269"/>
      <c r="E6" s="266"/>
      <c r="H6" s="465" t="s">
        <v>2732</v>
      </c>
    </row>
    <row r="7" spans="2:13">
      <c r="B7" s="270" t="s">
        <v>2156</v>
      </c>
      <c r="C7" s="271" t="s">
        <v>2733</v>
      </c>
      <c r="D7" s="271" t="s">
        <v>2734</v>
      </c>
      <c r="E7" s="271" t="s">
        <v>2735</v>
      </c>
    </row>
    <row r="8" spans="2:13">
      <c r="B8" s="272" t="s">
        <v>1837</v>
      </c>
      <c r="C8" s="273">
        <f>VLOOKUP(B8,'AGGREGATES by country'!B:R,17,0)</f>
        <v>6.3708799922424184</v>
      </c>
      <c r="D8" s="273">
        <f>VLOOKUP(B8,'AGGREGATES by country'!B:S,18,0)</f>
        <v>17.411180065727272</v>
      </c>
      <c r="E8" s="273">
        <f>VLOOKUP(B8,'AGGREGATES by country'!B:J,4,0)</f>
        <v>23.782060057969691</v>
      </c>
    </row>
    <row r="9" spans="2:13">
      <c r="B9" s="275" t="s">
        <v>1741</v>
      </c>
      <c r="C9" s="273">
        <f>VLOOKUP(B9,'AGGREGATES by country'!B:R,17,0)</f>
        <v>1.1051816336566063</v>
      </c>
      <c r="D9" s="273">
        <f>VLOOKUP(B9,'AGGREGATES by country'!B:S,18,0)</f>
        <v>2.6626210119999993</v>
      </c>
      <c r="E9" s="273">
        <f>VLOOKUP(B9,'AGGREGATES by country'!B:J,4,0)</f>
        <v>3.7678026456566056</v>
      </c>
    </row>
    <row r="10" spans="2:13">
      <c r="B10" s="275" t="s">
        <v>1364</v>
      </c>
      <c r="C10" s="273">
        <f>VLOOKUP(B10,'AGGREGATES by country'!B:R,17,0)</f>
        <v>1.8</v>
      </c>
      <c r="D10" s="273">
        <f>VLOOKUP(B10,'AGGREGATES by country'!B:S,18,0)</f>
        <v>0</v>
      </c>
      <c r="E10" s="273">
        <f>VLOOKUP(B10,'AGGREGATES by country'!B:J,4,0)</f>
        <v>1.8</v>
      </c>
    </row>
    <row r="11" spans="2:13">
      <c r="B11" s="275" t="s">
        <v>840</v>
      </c>
      <c r="C11" s="273">
        <f>VLOOKUP(B11,'AGGREGATES by country'!B:R,17,0)</f>
        <v>0.6751290571969697</v>
      </c>
      <c r="D11" s="273">
        <f>VLOOKUP(B11,'AGGREGATES by country'!B:S,18,0)</f>
        <v>0.76439999999999997</v>
      </c>
      <c r="E11" s="273">
        <f>VLOOKUP(B11,'AGGREGATES by country'!B:J,4,0)</f>
        <v>1.4395290571969697</v>
      </c>
    </row>
    <row r="12" spans="2:13">
      <c r="B12" s="275" t="s">
        <v>350</v>
      </c>
      <c r="C12" s="273">
        <f>VLOOKUP(B12,'AGGREGATES by country'!B:R,17,0)</f>
        <v>0.91932362269517987</v>
      </c>
      <c r="D12" s="273">
        <f>VLOOKUP(B12,'AGGREGATES by country'!B:S,18,0)</f>
        <v>0</v>
      </c>
      <c r="E12" s="273">
        <f>VLOOKUP(B12,'AGGREGATES by country'!B:J,4,0)</f>
        <v>0.91932362269517998</v>
      </c>
    </row>
    <row r="13" spans="2:13">
      <c r="B13" s="222" t="s">
        <v>1306</v>
      </c>
      <c r="C13" s="273">
        <f>VLOOKUP(B13,'AGGREGATES by country'!B:R,17,0)</f>
        <v>0.45484990530303021</v>
      </c>
      <c r="D13" s="273">
        <f>VLOOKUP(B13,'AGGREGATES by country'!B:S,18,0)</f>
        <v>3.8834574421607648E-2</v>
      </c>
      <c r="E13" s="273">
        <f>VLOOKUP(B13,'AGGREGATES by country'!B:J,4,0)</f>
        <v>0.49368447972463786</v>
      </c>
    </row>
    <row r="14" spans="2:13">
      <c r="B14" s="275" t="s">
        <v>618</v>
      </c>
      <c r="C14" s="273">
        <f>VLOOKUP(B14,'AGGREGATES by country'!B:R,17,0)</f>
        <v>0.26884611248521345</v>
      </c>
      <c r="D14" s="273">
        <f>VLOOKUP(B14,'AGGREGATES by country'!B:S,18,0)</f>
        <v>0</v>
      </c>
      <c r="E14" s="273">
        <f>VLOOKUP(B14,'AGGREGATES by country'!B:J,4,0)</f>
        <v>0.26884611248521345</v>
      </c>
    </row>
    <row r="15" spans="2:13">
      <c r="B15" s="275" t="s">
        <v>503</v>
      </c>
      <c r="C15" s="273">
        <f>VLOOKUP(B15,'AGGREGATES by country'!B:R,17,0)</f>
        <v>0.25621643027857555</v>
      </c>
      <c r="D15" s="273">
        <f>VLOOKUP(B15,'AGGREGATES by country'!B:S,18,0)</f>
        <v>0</v>
      </c>
      <c r="E15" s="273">
        <f>VLOOKUP(B15,'AGGREGATES by country'!B:J,4,0)</f>
        <v>0.25621643027857555</v>
      </c>
    </row>
    <row r="16" spans="2:13">
      <c r="B16" s="275" t="s">
        <v>926</v>
      </c>
      <c r="C16" s="273">
        <f>VLOOKUP(B16,'AGGREGATES by country'!B:R,17,0)</f>
        <v>0.24734007386363635</v>
      </c>
      <c r="D16" s="273">
        <f>VLOOKUP(B16,'AGGREGATES by country'!B:S,18,0)</f>
        <v>0</v>
      </c>
      <c r="E16" s="273">
        <f>VLOOKUP(B16,'AGGREGATES by country'!B:J,4,0)</f>
        <v>0.24734007386363635</v>
      </c>
    </row>
    <row r="17" spans="2:5">
      <c r="B17" s="275" t="s">
        <v>666</v>
      </c>
      <c r="C17" s="273">
        <f>VLOOKUP(B17,'AGGREGATES by country'!B:R,17,0)</f>
        <v>0.245</v>
      </c>
      <c r="D17" s="273">
        <f>VLOOKUP(B17,'AGGREGATES by country'!B:S,18,0)</f>
        <v>0</v>
      </c>
      <c r="E17" s="273">
        <f>VLOOKUP(B17,'AGGREGATES by country'!B:J,4,0)</f>
        <v>0.245</v>
      </c>
    </row>
    <row r="18" spans="2:5">
      <c r="B18" s="275" t="s">
        <v>1119</v>
      </c>
      <c r="C18" s="273">
        <f>VLOOKUP(B18,'AGGREGATES by country'!B:R,17,0)</f>
        <v>0.21879999999999999</v>
      </c>
      <c r="D18" s="273">
        <f>VLOOKUP(B18,'AGGREGATES by country'!B:S,18,0)</f>
        <v>0</v>
      </c>
      <c r="E18" s="273">
        <f>VLOOKUP(B18,'AGGREGATES by country'!B:J,4,0)</f>
        <v>0.21879999999999999</v>
      </c>
    </row>
    <row r="19" spans="2:5">
      <c r="B19" s="222" t="s">
        <v>189</v>
      </c>
      <c r="C19" s="273">
        <f>VLOOKUP(B19,'AGGREGATES by country'!B:R,17,0)</f>
        <v>0.18533767182415833</v>
      </c>
      <c r="D19" s="273">
        <f>VLOOKUP(B19,'AGGREGATES by country'!B:S,18,0)</f>
        <v>0</v>
      </c>
      <c r="E19" s="273">
        <f>VLOOKUP(B19,'AGGREGATES by country'!B:J,4,0)</f>
        <v>0.18533767182415831</v>
      </c>
    </row>
    <row r="20" spans="2:5">
      <c r="B20" s="275" t="s">
        <v>1645</v>
      </c>
      <c r="C20" s="273">
        <f>VLOOKUP(B20,'AGGREGATES by country'!B:R,17,0)</f>
        <v>7.5188645876003296E-2</v>
      </c>
      <c r="D20" s="273">
        <f>VLOOKUP(B20,'AGGREGATES by country'!B:S,18,0)</f>
        <v>0.10727550385550799</v>
      </c>
      <c r="E20" s="273">
        <f>VLOOKUP(B20,'AGGREGATES by country'!B:J,4,0)</f>
        <v>0.18246414973151129</v>
      </c>
    </row>
    <row r="21" spans="2:5">
      <c r="B21" s="275" t="s">
        <v>1507</v>
      </c>
      <c r="C21" s="273">
        <f>VLOOKUP(B21,'AGGREGATES by country'!B:R,17,0)</f>
        <v>0.16365189393939392</v>
      </c>
      <c r="D21" s="273">
        <f>VLOOKUP(B21,'AGGREGATES by country'!B:S,18,0)</f>
        <v>0</v>
      </c>
      <c r="E21" s="273">
        <f>VLOOKUP(B21,'AGGREGATES by country'!B:J,4,0)</f>
        <v>0.16365189393939394</v>
      </c>
    </row>
    <row r="22" spans="2:5">
      <c r="B22" s="275" t="s">
        <v>763</v>
      </c>
      <c r="C22" s="273">
        <f>VLOOKUP(B22,'AGGREGATES by country'!B:R,17,0)</f>
        <v>0.19375000000000001</v>
      </c>
      <c r="D22" s="273">
        <f>VLOOKUP(B22,'AGGREGATES by country'!B:S,18,0)</f>
        <v>0</v>
      </c>
      <c r="E22" s="273">
        <f>VLOOKUP(B22,'AGGREGATES by country'!B:J,4,0)</f>
        <v>0.19375000000000001</v>
      </c>
    </row>
    <row r="23" spans="2:5">
      <c r="B23" s="275" t="s">
        <v>1036</v>
      </c>
      <c r="C23" s="273">
        <f>VLOOKUP(B23,'AGGREGATES by country'!B:R,17,0)</f>
        <v>0.15</v>
      </c>
      <c r="D23" s="273">
        <f>VLOOKUP(B23,'AGGREGATES by country'!B:S,18,0)</f>
        <v>0</v>
      </c>
      <c r="E23" s="273">
        <f>VLOOKUP(B23,'AGGREGATES by country'!B:J,4,0)</f>
        <v>0.15</v>
      </c>
    </row>
    <row r="24" spans="2:5">
      <c r="B24" s="275" t="s">
        <v>1215</v>
      </c>
      <c r="C24" s="273">
        <f>VLOOKUP(B24,'AGGREGATES by country'!B:R,17,0)</f>
        <v>8.4090909090909091E-2</v>
      </c>
      <c r="D24" s="273">
        <f>VLOOKUP(B24,'AGGREGATES by country'!B:S,18,0)</f>
        <v>0</v>
      </c>
      <c r="E24" s="273">
        <f>VLOOKUP(B24,'AGGREGATES by country'!B:J,4,0)</f>
        <v>8.4090909090909091E-2</v>
      </c>
    </row>
    <row r="25" spans="2:5">
      <c r="B25" s="275" t="s">
        <v>296</v>
      </c>
      <c r="C25" s="273">
        <f>VLOOKUP(B25,'AGGREGATES by country'!B:R,17,0)</f>
        <v>7.5999999999999998E-2</v>
      </c>
      <c r="D25" s="273">
        <f>VLOOKUP(B25,'AGGREGATES by country'!B:S,18,0)</f>
        <v>0</v>
      </c>
      <c r="E25" s="273">
        <f>VLOOKUP(B25,'AGGREGATES by country'!B:J,4,0)</f>
        <v>7.5999999999999998E-2</v>
      </c>
    </row>
    <row r="26" spans="2:5">
      <c r="B26" s="275" t="s">
        <v>1147</v>
      </c>
      <c r="C26" s="273">
        <f>VLOOKUP(B26,'AGGREGATES by country'!B:R,17,0)</f>
        <v>5.45E-2</v>
      </c>
      <c r="D26" s="273">
        <f>VLOOKUP(B26,'AGGREGATES by country'!B:S,18,0)</f>
        <v>0</v>
      </c>
      <c r="E26" s="273">
        <f>VLOOKUP(B26,'AGGREGATES by country'!B:J,4,0)</f>
        <v>5.45E-2</v>
      </c>
    </row>
    <row r="27" spans="2:5">
      <c r="B27" s="275" t="s">
        <v>1187</v>
      </c>
      <c r="C27" s="273">
        <f>VLOOKUP(B27,'AGGREGATES by country'!B:R,17,0)</f>
        <v>0.05</v>
      </c>
      <c r="D27" s="273">
        <f>VLOOKUP(B27,'AGGREGATES by country'!B:S,18,0)</f>
        <v>0</v>
      </c>
      <c r="E27" s="273">
        <f>VLOOKUP(B27,'AGGREGATES by country'!B:J,4,0)</f>
        <v>0.05</v>
      </c>
    </row>
    <row r="28" spans="2:5">
      <c r="B28" s="275" t="s">
        <v>1587</v>
      </c>
      <c r="C28" s="273">
        <f>VLOOKUP(B28,'AGGREGATES by country'!B:R,17,0)</f>
        <v>3.7245335227272726E-2</v>
      </c>
      <c r="D28" s="273">
        <f>VLOOKUP(B28,'AGGREGATES by country'!B:S,18,0)</f>
        <v>0</v>
      </c>
      <c r="E28" s="273">
        <f>VLOOKUP(B28,'AGGREGATES by country'!B:J,4,0)</f>
        <v>3.7245335227272719E-2</v>
      </c>
    </row>
    <row r="29" spans="2:5">
      <c r="B29" s="275" t="s">
        <v>701</v>
      </c>
      <c r="C29" s="273">
        <f>VLOOKUP(B29,'AGGREGATES by country'!B:R,17,0)</f>
        <v>2.93E-2</v>
      </c>
      <c r="D29" s="273">
        <f>VLOOKUP(B29,'AGGREGATES by country'!B:S,18,0)</f>
        <v>0</v>
      </c>
      <c r="E29" s="273">
        <f>VLOOKUP(B29,'AGGREGATES by country'!B:J,4,0)</f>
        <v>2.93E-2</v>
      </c>
    </row>
    <row r="30" spans="2:5">
      <c r="B30" s="275" t="s">
        <v>464</v>
      </c>
      <c r="C30" s="273">
        <f>VLOOKUP(B30,'AGGREGATES by country'!B:R,17,0)</f>
        <v>1.6477310477709121E-2</v>
      </c>
      <c r="D30" s="273">
        <f>VLOOKUP(B30,'AGGREGATES by country'!B:S,18,0)</f>
        <v>0</v>
      </c>
      <c r="E30" s="273">
        <f>VLOOKUP(B30,'AGGREGATES by country'!B:J,4,0)</f>
        <v>1.6477310477709121E-2</v>
      </c>
    </row>
    <row r="31" spans="2:5">
      <c r="B31" s="222" t="s">
        <v>1273</v>
      </c>
      <c r="C31" s="273">
        <f>VLOOKUP(B31,'AGGREGATES by country'!B:R,17,0)</f>
        <v>3.6100586281887508E-3</v>
      </c>
      <c r="D31" s="273">
        <f>VLOOKUP(B31,'AGGREGATES by country'!B:S,18,0)</f>
        <v>1.0208370864108571E-2</v>
      </c>
      <c r="E31" s="273">
        <f>VLOOKUP(B31,'AGGREGATES by country'!B:J,4,0)</f>
        <v>1.3818429492297321E-2</v>
      </c>
    </row>
    <row r="32" spans="2:5">
      <c r="B32" s="275" t="s">
        <v>1408</v>
      </c>
      <c r="C32" s="273">
        <f>VLOOKUP(B32,'AGGREGATES by country'!B:R,17,0)</f>
        <v>8.7285984848484849E-3</v>
      </c>
      <c r="D32" s="273">
        <f>VLOOKUP(B32,'AGGREGATES by country'!B:S,18,0)</f>
        <v>0</v>
      </c>
      <c r="E32" s="273">
        <f>VLOOKUP(B32,'AGGREGATES by country'!B:J,4,0)</f>
        <v>8.7285984848484849E-3</v>
      </c>
    </row>
    <row r="33" spans="2:13">
      <c r="B33" s="275" t="s">
        <v>1546</v>
      </c>
      <c r="C33" s="273">
        <f>VLOOKUP(B33,'AGGREGATES by country'!B:R,17,0)</f>
        <v>6.628787878787879E-3</v>
      </c>
      <c r="D33" s="273">
        <f>VLOOKUP(B33,'AGGREGATES by country'!B:S,18,0)</f>
        <v>0</v>
      </c>
      <c r="E33" s="273">
        <f>VLOOKUP(B33,'AGGREGATES by country'!B:J,4,0)</f>
        <v>6.628787878787879E-3</v>
      </c>
    </row>
    <row r="34" spans="2:13">
      <c r="B34" s="266" t="s">
        <v>329</v>
      </c>
      <c r="C34" s="273">
        <f>VLOOKUP(B34,'AGGREGATES by country'!B:R,17,0)</f>
        <v>3.5984848484848482E-3</v>
      </c>
      <c r="D34" s="273">
        <f>VLOOKUP(B34,'AGGREGATES by country'!B:S,18,0)</f>
        <v>0</v>
      </c>
      <c r="E34" s="273">
        <f>VLOOKUP(B34,'AGGREGATES by country'!B:J,4,0)</f>
        <v>3.5984848484848482E-3</v>
      </c>
    </row>
    <row r="35" spans="2:13">
      <c r="B35" s="222" t="s">
        <v>1449</v>
      </c>
      <c r="C35" s="273">
        <f>VLOOKUP(B35,'AGGREGATES by country'!B:R,17,0)</f>
        <v>3.3901515151515149E-3</v>
      </c>
      <c r="D35" s="273">
        <f>VLOOKUP(B35,'AGGREGATES by country'!B:S,18,0)</f>
        <v>0</v>
      </c>
      <c r="E35" s="273">
        <f>VLOOKUP(B35,'AGGREGATES by country'!B:J,4,0)</f>
        <v>3.3901515151515149E-3</v>
      </c>
    </row>
    <row r="36" spans="2:13">
      <c r="B36" s="275" t="s">
        <v>257</v>
      </c>
      <c r="C36" s="273">
        <f>VLOOKUP(B36,'AGGREGATES by country'!B:R,17,0)</f>
        <v>3.3860407670454539E-3</v>
      </c>
      <c r="D36" s="273">
        <f>VLOOKUP(B36,'AGGREGATES by country'!B:S,18,0)</f>
        <v>0</v>
      </c>
      <c r="E36" s="273">
        <f>VLOOKUP(B36,'AGGREGATES by country'!B:J,4,0)</f>
        <v>3.3860407670454539E-3</v>
      </c>
    </row>
    <row r="37" spans="2:13">
      <c r="B37" s="275" t="s">
        <v>1478</v>
      </c>
      <c r="C37" s="273">
        <f>VLOOKUP(B37,'AGGREGATES by country'!B:R,17,0)</f>
        <v>3.0000000000000001E-3</v>
      </c>
      <c r="D37" s="273">
        <f>VLOOKUP(B37,'AGGREGATES by country'!B:S,18,0)</f>
        <v>0</v>
      </c>
      <c r="E37" s="273">
        <f>VLOOKUP(B37,'AGGREGATES by country'!B:J,4,0)</f>
        <v>3.0000000000000001E-3</v>
      </c>
    </row>
    <row r="38" spans="2:13" ht="15.75" customHeight="1">
      <c r="B38" s="275" t="s">
        <v>1080</v>
      </c>
      <c r="C38" s="273">
        <f>VLOOKUP(B38,'AGGREGATES by country'!B:R,17,0)</f>
        <v>0</v>
      </c>
      <c r="D38" s="273">
        <f>VLOOKUP(B38,'AGGREGATES by country'!B:S,18,0)</f>
        <v>0</v>
      </c>
      <c r="E38" s="273">
        <f>VLOOKUP(B38,'AGGREGATES by country'!B:J,4,0)</f>
        <v>0</v>
      </c>
      <c r="K38" s="276"/>
      <c r="L38" s="276"/>
    </row>
    <row r="39" spans="2:13" ht="15" customHeight="1">
      <c r="B39" s="275" t="s">
        <v>963</v>
      </c>
      <c r="C39" s="273">
        <f>VLOOKUP(B39,'AGGREGATES by country'!B:R,17,0)</f>
        <v>0</v>
      </c>
      <c r="D39" s="273">
        <f>VLOOKUP(B39,'AGGREGATES by country'!B:S,18,0)</f>
        <v>0</v>
      </c>
      <c r="E39" s="273">
        <f>VLOOKUP(B39,'AGGREGATES by country'!B:J,4,0)</f>
        <v>0</v>
      </c>
      <c r="J39" s="276"/>
      <c r="K39" s="276"/>
      <c r="L39" s="276"/>
      <c r="M39" s="277"/>
    </row>
    <row r="40" spans="2:13" ht="15" customHeight="1">
      <c r="B40" s="275" t="s">
        <v>1006</v>
      </c>
      <c r="C40" s="273">
        <f>VLOOKUP(B40,'AGGREGATES by country'!B:R,17,0)</f>
        <v>0</v>
      </c>
      <c r="D40" s="273">
        <f>VLOOKUP(B40,'AGGREGATES by country'!B:S,18,0)</f>
        <v>0</v>
      </c>
      <c r="E40" s="273">
        <f>VLOOKUP(B40,'AGGREGATES by country'!B:J,4,0)</f>
        <v>0</v>
      </c>
      <c r="J40" s="276"/>
      <c r="K40" s="276"/>
      <c r="L40" s="276"/>
      <c r="M40" s="277"/>
    </row>
    <row r="41" spans="2:13" ht="15" customHeight="1">
      <c r="B41" s="222" t="s">
        <v>1694</v>
      </c>
      <c r="C41" s="273">
        <f>VLOOKUP(B41,'AGGREGATES by country'!B:R,17,0)</f>
        <v>0</v>
      </c>
      <c r="D41" s="273">
        <f>VLOOKUP(B41,'AGGREGATES by country'!B:S,18,0)</f>
        <v>0</v>
      </c>
      <c r="E41" s="273">
        <f>VLOOKUP(B41,'AGGREGATES by country'!B:J,4,0)</f>
        <v>0</v>
      </c>
      <c r="K41" s="276"/>
      <c r="L41" s="276"/>
      <c r="M41" s="277"/>
    </row>
    <row r="42" spans="2:13" ht="15" customHeight="1">
      <c r="B42" s="275" t="s">
        <v>490</v>
      </c>
      <c r="C42" s="273">
        <f>VLOOKUP(B42,'AGGREGATES by country'!B:R,17,0)</f>
        <v>0</v>
      </c>
      <c r="D42" s="273">
        <f>VLOOKUP(B42,'AGGREGATES by country'!B:S,18,0)</f>
        <v>0</v>
      </c>
      <c r="E42" s="273">
        <f>VLOOKUP(B42,'AGGREGATES by country'!B:J,4,0)</f>
        <v>0</v>
      </c>
      <c r="J42" s="276"/>
      <c r="K42" s="276"/>
      <c r="L42" s="276"/>
      <c r="M42" s="277"/>
    </row>
    <row r="43" spans="2:13" ht="15" customHeight="1">
      <c r="B43" s="275" t="s">
        <v>1207</v>
      </c>
      <c r="C43" s="273">
        <f>VLOOKUP(B43,'AGGREGATES by country'!B:R,17,0)</f>
        <v>0</v>
      </c>
      <c r="D43" s="273">
        <f>VLOOKUP(B43,'AGGREGATES by country'!B:S,18,0)</f>
        <v>0</v>
      </c>
      <c r="E43" s="273">
        <f>VLOOKUP(B43,'AGGREGATES by country'!B:J,4,0)</f>
        <v>0</v>
      </c>
      <c r="J43" s="277"/>
      <c r="K43" s="277"/>
      <c r="L43" s="277"/>
      <c r="M43" s="277"/>
    </row>
    <row r="44" spans="2:13" ht="15" customHeight="1">
      <c r="B44" s="451" t="s">
        <v>1702</v>
      </c>
      <c r="C44" s="273">
        <f>VLOOKUP(B44,'AGGREGATES by country'!B:R,17,0)</f>
        <v>0</v>
      </c>
      <c r="D44" s="273">
        <f>VLOOKUP(B44,'AGGREGATES by country'!B:S,18,0)</f>
        <v>0</v>
      </c>
      <c r="E44" s="273">
        <f>VLOOKUP(B44,'AGGREGATES by country'!B:J,4,0)</f>
        <v>0</v>
      </c>
      <c r="J44" s="277"/>
      <c r="K44" s="277"/>
      <c r="L44" s="277"/>
      <c r="M44" s="277"/>
    </row>
    <row r="45" spans="2:13">
      <c r="B45" s="266" t="s">
        <v>456</v>
      </c>
      <c r="C45" s="273">
        <f>VLOOKUP(B45,'AGGREGATES by country'!B:R,17,0)</f>
        <v>0</v>
      </c>
      <c r="D45" s="273">
        <f>VLOOKUP(B45,'AGGREGATES by country'!B:S,18,0)</f>
        <v>0</v>
      </c>
      <c r="E45" s="273">
        <f>VLOOKUP(B45,'AGGREGATES by country'!B:J,4,0)</f>
        <v>0</v>
      </c>
    </row>
    <row r="46" spans="2:13">
      <c r="B46" s="489" t="s">
        <v>1721</v>
      </c>
      <c r="C46" s="273">
        <f>VLOOKUP(B46,'AGGREGATES by country'!B:R,17,0)</f>
        <v>0</v>
      </c>
      <c r="D46" s="273">
        <f>VLOOKUP(B46,'AGGREGATES by country'!B:S,18,0)</f>
        <v>0</v>
      </c>
      <c r="E46" s="273">
        <f>VLOOKUP(B46,'AGGREGATES by country'!B:J,4,0)</f>
        <v>0</v>
      </c>
    </row>
    <row r="47" spans="2:13" ht="18" customHeight="1">
      <c r="B47" s="503" t="s">
        <v>998</v>
      </c>
      <c r="C47" s="504">
        <f>VLOOKUP(B47,'AGGREGATES by country'!B:R,17,0)</f>
        <v>0</v>
      </c>
      <c r="D47" s="504">
        <f>VLOOKUP(B47,'AGGREGATES by country'!B:S,18,0)</f>
        <v>0</v>
      </c>
      <c r="E47" s="504">
        <f>VLOOKUP(B47,'AGGREGATES by country'!B:J,4,0)</f>
        <v>0</v>
      </c>
      <c r="J47" s="276" t="s">
        <v>2736</v>
      </c>
    </row>
    <row r="49" spans="2:17">
      <c r="C49" s="273"/>
      <c r="D49" s="273"/>
      <c r="E49" s="273"/>
    </row>
    <row r="50" spans="2:17">
      <c r="B50" s="412" t="s">
        <v>2717</v>
      </c>
      <c r="C50" s="413">
        <f>SUM(C8:C47)</f>
        <v>13.709450716279584</v>
      </c>
      <c r="D50" s="413">
        <f t="shared" ref="D50:E50" si="0">SUM(D8:D47)</f>
        <v>20.994519526868494</v>
      </c>
      <c r="E50" s="413">
        <f t="shared" si="0"/>
        <v>34.703970243148078</v>
      </c>
    </row>
    <row r="51" spans="2:17">
      <c r="B51" s="275"/>
      <c r="C51" s="278"/>
      <c r="D51" s="278"/>
      <c r="E51" s="278"/>
    </row>
    <row r="52" spans="2:17">
      <c r="B52" s="275"/>
      <c r="C52" s="278"/>
      <c r="D52" s="278"/>
      <c r="E52" s="278"/>
    </row>
    <row r="53" spans="2:17">
      <c r="B53" s="275"/>
      <c r="C53" s="278"/>
      <c r="D53" s="278"/>
      <c r="E53" s="278"/>
    </row>
    <row r="54" spans="2:17">
      <c r="B54" s="275"/>
      <c r="C54" s="278"/>
      <c r="D54" s="278"/>
      <c r="E54" s="278"/>
    </row>
    <row r="55" spans="2:17" ht="60" customHeight="1">
      <c r="B55" s="275"/>
      <c r="C55" s="278"/>
      <c r="D55" s="278"/>
      <c r="E55" s="278"/>
      <c r="I55" s="1006" t="s">
        <v>2737</v>
      </c>
      <c r="J55" s="1006"/>
      <c r="K55" s="1006"/>
      <c r="L55" s="1006"/>
      <c r="M55" s="1006"/>
      <c r="N55" s="1006"/>
      <c r="O55" s="1006"/>
      <c r="P55" s="1006"/>
      <c r="Q55" s="1006"/>
    </row>
    <row r="56" spans="2:17">
      <c r="B56" s="275"/>
      <c r="C56" s="278"/>
      <c r="D56" s="278"/>
      <c r="E56" s="278"/>
      <c r="I56" s="831"/>
      <c r="J56" s="831"/>
      <c r="K56" s="831"/>
      <c r="L56" s="831"/>
      <c r="M56" s="831"/>
      <c r="N56" s="831"/>
      <c r="O56" s="831"/>
      <c r="P56" s="831"/>
    </row>
    <row r="57" spans="2:17">
      <c r="B57" s="275"/>
      <c r="C57" s="278"/>
      <c r="D57" s="278"/>
      <c r="E57" s="278"/>
      <c r="I57" s="831"/>
      <c r="J57" s="831"/>
      <c r="K57" s="831"/>
      <c r="L57" s="831"/>
      <c r="M57" s="831"/>
      <c r="N57" s="831"/>
      <c r="O57" s="831"/>
      <c r="P57" s="831"/>
    </row>
    <row r="58" spans="2:17">
      <c r="B58" s="275"/>
      <c r="C58" s="278"/>
      <c r="D58" s="278"/>
      <c r="E58" s="278"/>
      <c r="I58" s="831"/>
      <c r="J58" s="831"/>
      <c r="K58" s="831"/>
      <c r="L58" s="831"/>
      <c r="M58" s="831"/>
      <c r="N58" s="831"/>
      <c r="O58" s="831"/>
      <c r="P58" s="831"/>
    </row>
    <row r="59" spans="2:17" ht="15.75" customHeight="1">
      <c r="B59" s="275"/>
      <c r="C59" s="278"/>
      <c r="D59" s="278"/>
      <c r="E59" s="278"/>
      <c r="I59" s="831"/>
      <c r="J59" s="831"/>
      <c r="K59" s="831"/>
      <c r="L59" s="831"/>
      <c r="M59" s="831"/>
      <c r="N59" s="831"/>
      <c r="O59" s="831"/>
      <c r="P59" s="831"/>
    </row>
    <row r="60" spans="2:17">
      <c r="B60" s="275"/>
      <c r="C60" s="278"/>
      <c r="D60" s="278"/>
      <c r="E60" s="278"/>
    </row>
    <row r="61" spans="2:17">
      <c r="B61" s="275"/>
      <c r="C61" s="278"/>
      <c r="D61" s="278"/>
      <c r="E61" s="278"/>
    </row>
    <row r="62" spans="2:17">
      <c r="B62" s="275"/>
      <c r="C62" s="278"/>
      <c r="D62" s="278"/>
      <c r="E62" s="278"/>
    </row>
    <row r="63" spans="2:17">
      <c r="B63" s="275"/>
      <c r="C63" s="278"/>
      <c r="D63" s="278"/>
      <c r="E63" s="278"/>
    </row>
    <row r="64" spans="2:17">
      <c r="B64" s="275"/>
      <c r="C64" s="278"/>
      <c r="D64" s="278"/>
      <c r="E64" s="278"/>
    </row>
    <row r="65" spans="2:5">
      <c r="B65" s="275"/>
      <c r="C65" s="278"/>
      <c r="D65" s="278"/>
      <c r="E65" s="278"/>
    </row>
    <row r="66" spans="2:5">
      <c r="B66" s="275"/>
      <c r="C66" s="278"/>
      <c r="D66" s="278"/>
      <c r="E66" s="278"/>
    </row>
    <row r="67" spans="2:5">
      <c r="B67" s="275"/>
      <c r="C67" s="278"/>
      <c r="D67" s="278"/>
      <c r="E67" s="278"/>
    </row>
    <row r="68" spans="2:5">
      <c r="B68" s="275"/>
      <c r="C68" s="278"/>
      <c r="D68" s="278"/>
      <c r="E68" s="278"/>
    </row>
    <row r="69" spans="2:5">
      <c r="B69" s="275"/>
      <c r="C69" s="278"/>
      <c r="D69" s="278"/>
      <c r="E69" s="278"/>
    </row>
    <row r="70" spans="2:5">
      <c r="B70" s="275"/>
      <c r="C70" s="278"/>
      <c r="D70" s="278"/>
      <c r="E70" s="278"/>
    </row>
    <row r="71" spans="2:5">
      <c r="B71" s="275"/>
      <c r="C71" s="278"/>
      <c r="D71" s="278"/>
      <c r="E71" s="278"/>
    </row>
    <row r="72" spans="2:5">
      <c r="B72" s="275"/>
      <c r="C72" s="278"/>
      <c r="D72" s="278"/>
      <c r="E72" s="278"/>
    </row>
    <row r="73" spans="2:5">
      <c r="B73" s="275"/>
      <c r="C73" s="278"/>
      <c r="D73" s="278"/>
      <c r="E73" s="278"/>
    </row>
    <row r="74" spans="2:5">
      <c r="B74" s="275"/>
      <c r="C74" s="278"/>
      <c r="D74" s="278"/>
      <c r="E74" s="278"/>
    </row>
    <row r="75" spans="2:5">
      <c r="B75" s="275"/>
      <c r="C75" s="278"/>
      <c r="D75" s="278"/>
      <c r="E75" s="278"/>
    </row>
    <row r="76" spans="2:5" ht="15" customHeight="1">
      <c r="B76" s="275"/>
      <c r="C76" s="278"/>
      <c r="D76" s="278"/>
      <c r="E76" s="278"/>
    </row>
    <row r="77" spans="2:5" ht="15" customHeight="1">
      <c r="C77" s="278"/>
      <c r="D77" s="278"/>
      <c r="E77" s="278"/>
    </row>
    <row r="78" spans="2:5" ht="15" customHeight="1">
      <c r="B78" s="275"/>
      <c r="C78" s="278"/>
      <c r="D78" s="278"/>
      <c r="E78" s="278"/>
    </row>
    <row r="79" spans="2:5" ht="15" customHeight="1">
      <c r="B79" s="275"/>
      <c r="C79" s="278"/>
      <c r="D79" s="278"/>
      <c r="E79" s="278"/>
    </row>
    <row r="80" spans="2:5" ht="15" customHeight="1">
      <c r="C80" s="278"/>
      <c r="D80" s="278"/>
      <c r="E80" s="278"/>
    </row>
  </sheetData>
  <autoFilter ref="B7:D7" xr:uid="{00000000-0009-0000-0000-00000C000000}"/>
  <sortState xmlns:xlrd2="http://schemas.microsoft.com/office/spreadsheetml/2017/richdata2" ref="B8:E47">
    <sortCondition descending="1" ref="E8:E47"/>
  </sortState>
  <mergeCells count="2">
    <mergeCell ref="K3:M4"/>
    <mergeCell ref="I55:Q5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3:AA50"/>
  <sheetViews>
    <sheetView showGridLines="0" topLeftCell="B1" zoomScale="60" zoomScaleNormal="60" workbookViewId="0">
      <selection activeCell="G2" sqref="G2"/>
    </sheetView>
  </sheetViews>
  <sheetFormatPr defaultColWidth="9" defaultRowHeight="15.75"/>
  <cols>
    <col min="1" max="1" width="9" style="279"/>
    <col min="2" max="2" width="24.375" style="279" customWidth="1"/>
    <col min="3" max="5" width="11.875" style="279" bestFit="1" customWidth="1"/>
    <col min="6" max="6" width="22.875" style="279" bestFit="1" customWidth="1"/>
    <col min="7" max="7" width="26.125" style="279" bestFit="1" customWidth="1"/>
    <col min="9" max="16384" width="9" style="279"/>
  </cols>
  <sheetData>
    <row r="3" spans="2:10" ht="28.5">
      <c r="J3" s="466" t="s">
        <v>2738</v>
      </c>
    </row>
    <row r="5" spans="2:10">
      <c r="B5" s="139" t="s">
        <v>2739</v>
      </c>
      <c r="H5" s="279"/>
    </row>
    <row r="7" spans="2:10">
      <c r="B7" s="425" t="s">
        <v>2156</v>
      </c>
      <c r="C7" s="425" t="s">
        <v>2740</v>
      </c>
      <c r="D7" s="425" t="s">
        <v>2741</v>
      </c>
      <c r="E7" s="425" t="s">
        <v>2742</v>
      </c>
      <c r="F7" s="425" t="s">
        <v>2743</v>
      </c>
      <c r="G7" s="425" t="s">
        <v>2744</v>
      </c>
      <c r="H7" s="279"/>
    </row>
    <row r="8" spans="2:10">
      <c r="B8" s="281" t="s">
        <v>2180</v>
      </c>
      <c r="C8" s="279">
        <f>VLOOKUP("EU (Commission and Council)",'Financial aid by type'!B:G,2,0)+VLOOKUP("European Investment Bank",'Financial aid by type'!B:G,2,0)</f>
        <v>12.2</v>
      </c>
      <c r="D8" s="279">
        <f>VLOOKUP("EU (Commission and Council)",'Financial aid by type'!B:G,3,0)+VLOOKUP("European Investment Bank",'Financial aid by type'!B:G,3,0)</f>
        <v>0.1225</v>
      </c>
      <c r="E8" s="279">
        <f>VLOOKUP("EU (Commission and Council)",'Financial aid by type'!B:G,5,0)+VLOOKUP("European Investment Bank",'Financial aid by type'!B:G,5,0)</f>
        <v>0</v>
      </c>
      <c r="F8" s="279">
        <f>VLOOKUP("EU (Commission and Council)",'Financial aid by type'!B:G,4,0)+VLOOKUP("European Investment Bank",'Financial aid by type'!B:G,4,0)</f>
        <v>0</v>
      </c>
      <c r="G8" s="279">
        <f t="shared" ref="G8:G48" si="0">SUM(C8:F8)</f>
        <v>12.3225</v>
      </c>
      <c r="H8" s="279"/>
    </row>
    <row r="9" spans="2:10">
      <c r="B9" s="281" t="s">
        <v>1837</v>
      </c>
      <c r="C9" s="279">
        <f>VLOOKUP(B9,'Financial aid by type'!B:G,2,0)</f>
        <v>0.47348484848484845</v>
      </c>
      <c r="D9" s="279">
        <f>VLOOKUP(B9,'Financial aid by type'!B:G,3,0)</f>
        <v>9.2386363636363633</v>
      </c>
      <c r="E9" s="279">
        <f>VLOOKUP(B9,'Financial aid by type'!B:G,5,0)</f>
        <v>0.94696969696969691</v>
      </c>
      <c r="F9" s="279">
        <f>VLOOKUP(B9,'Financial aid by type'!B:G,4,0)</f>
        <v>0</v>
      </c>
      <c r="G9" s="279">
        <f t="shared" si="0"/>
        <v>10.659090909090908</v>
      </c>
      <c r="H9" s="279"/>
    </row>
    <row r="10" spans="2:10">
      <c r="B10" s="281" t="s">
        <v>1741</v>
      </c>
      <c r="C10" s="279">
        <f>VLOOKUP(B10,'Financial aid by type'!B:G,2,0)</f>
        <v>0.5827641669968997</v>
      </c>
      <c r="D10" s="279">
        <f>VLOOKUP(B10,'Financial aid by type'!B:G,3,0)</f>
        <v>0.64305001635271586</v>
      </c>
      <c r="E10" s="279">
        <f>VLOOKUP(B10,'Financial aid by type'!B:G,5,0)</f>
        <v>0.85083568381547359</v>
      </c>
      <c r="F10" s="279">
        <f>VLOOKUP(B10,'Financial aid by type'!B:G,4,0)</f>
        <v>0</v>
      </c>
      <c r="G10" s="279">
        <f t="shared" si="0"/>
        <v>2.0766498671650893</v>
      </c>
      <c r="H10" s="279"/>
    </row>
    <row r="11" spans="2:10">
      <c r="B11" s="281" t="s">
        <v>763</v>
      </c>
      <c r="C11" s="279">
        <f>VLOOKUP(B11,'Financial aid by type'!B:G,2,0)</f>
        <v>0.8</v>
      </c>
      <c r="D11" s="279">
        <f>VLOOKUP(B11,'Financial aid by type'!B:G,3,0)</f>
        <v>0</v>
      </c>
      <c r="E11" s="279">
        <f>VLOOKUP(B11,'Financial aid by type'!B:G,5,0)</f>
        <v>1</v>
      </c>
      <c r="F11" s="279">
        <f>VLOOKUP(B11,'Financial aid by type'!B:G,4,0)</f>
        <v>0</v>
      </c>
      <c r="G11" s="279">
        <f t="shared" si="0"/>
        <v>1.8</v>
      </c>
      <c r="H11" s="279"/>
    </row>
    <row r="12" spans="2:10">
      <c r="B12" s="281" t="s">
        <v>350</v>
      </c>
      <c r="C12" s="279">
        <f>VLOOKUP(B12,'Financial aid by type'!B:G,2,0)</f>
        <v>1.4407092722571113</v>
      </c>
      <c r="D12" s="279">
        <f>VLOOKUP(B12,'Financial aid by type'!B:G,3,0)</f>
        <v>0</v>
      </c>
      <c r="E12" s="279">
        <f>VLOOKUP(B12,'Financial aid by type'!B:G,5,0)</f>
        <v>0</v>
      </c>
      <c r="F12" s="279">
        <f>VLOOKUP(B12,'Financial aid by type'!B:G,4,0)</f>
        <v>0</v>
      </c>
      <c r="G12" s="279">
        <f t="shared" si="0"/>
        <v>1.4407092722571113</v>
      </c>
      <c r="H12" s="279"/>
    </row>
    <row r="13" spans="2:10">
      <c r="B13" s="281" t="s">
        <v>840</v>
      </c>
      <c r="C13" s="279">
        <f>VLOOKUP(B13,'Financial aid by type'!B:G,2,0)</f>
        <v>0.15</v>
      </c>
      <c r="D13" s="279">
        <f>VLOOKUP(B13,'Financial aid by type'!B:G,3,0)</f>
        <v>1</v>
      </c>
      <c r="E13" s="279">
        <f>VLOOKUP(B13,'Financial aid by type'!B:G,5,0)</f>
        <v>0</v>
      </c>
      <c r="F13" s="279">
        <f>VLOOKUP(B13,'Financial aid by type'!B:G,4,0)</f>
        <v>0</v>
      </c>
      <c r="G13" s="279">
        <f t="shared" si="0"/>
        <v>1.1499999999999999</v>
      </c>
      <c r="H13" s="279"/>
    </row>
    <row r="14" spans="2:10">
      <c r="B14" s="281" t="s">
        <v>1364</v>
      </c>
      <c r="C14" s="279">
        <f>VLOOKUP(B14,'Financial aid by type'!B:G,2,0)</f>
        <v>0</v>
      </c>
      <c r="D14" s="279">
        <f>VLOOKUP(B14,'Financial aid by type'!B:G,3,0)</f>
        <v>6.4514741618459824E-3</v>
      </c>
      <c r="E14" s="279">
        <f>VLOOKUP(B14,'Financial aid by type'!B:G,5,0)</f>
        <v>0</v>
      </c>
      <c r="F14" s="279">
        <f>VLOOKUP(B14,'Financial aid by type'!B:G,4,0)</f>
        <v>0.94696969696969691</v>
      </c>
      <c r="G14" s="279">
        <f t="shared" si="0"/>
        <v>0.9534211711315429</v>
      </c>
      <c r="H14" s="279"/>
    </row>
    <row r="15" spans="2:10">
      <c r="B15" s="281" t="s">
        <v>1080</v>
      </c>
      <c r="C15" s="279">
        <f>VLOOKUP(B15,'Financial aid by type'!B:G,2,0)</f>
        <v>0.56818181818181812</v>
      </c>
      <c r="D15" s="279">
        <f>VLOOKUP(B15,'Financial aid by type'!B:G,3,0)</f>
        <v>0</v>
      </c>
      <c r="E15" s="279">
        <f>VLOOKUP(B15,'Financial aid by type'!B:G,5,0)</f>
        <v>0</v>
      </c>
      <c r="F15" s="279">
        <f>VLOOKUP(B15,'Financial aid by type'!B:G,4,0)</f>
        <v>0</v>
      </c>
      <c r="G15" s="279">
        <f t="shared" si="0"/>
        <v>0.56818181818181812</v>
      </c>
      <c r="H15" s="279"/>
    </row>
    <row r="16" spans="2:10">
      <c r="B16" s="281" t="s">
        <v>1036</v>
      </c>
      <c r="C16" s="279">
        <f>VLOOKUP(B16,'Financial aid by type'!B:G,2,0)</f>
        <v>0.2</v>
      </c>
      <c r="D16" s="279">
        <f>VLOOKUP(B16,'Financial aid by type'!B:G,3,0)</f>
        <v>0.127</v>
      </c>
      <c r="E16" s="279">
        <f>VLOOKUP(B16,'Financial aid by type'!B:G,5,0)</f>
        <v>0</v>
      </c>
      <c r="F16" s="279">
        <f>VLOOKUP(B16,'Financial aid by type'!B:G,4,0)</f>
        <v>0</v>
      </c>
      <c r="G16" s="279">
        <f t="shared" si="0"/>
        <v>0.32700000000000001</v>
      </c>
      <c r="H16" s="279"/>
    </row>
    <row r="17" spans="2:8">
      <c r="B17" s="281" t="s">
        <v>1408</v>
      </c>
      <c r="C17" s="279">
        <f>VLOOKUP(B17,'Financial aid by type'!B:G,2,0)</f>
        <v>0</v>
      </c>
      <c r="D17" s="279">
        <f>VLOOKUP(B17,'Financial aid by type'!B:G,3,0)</f>
        <v>0.25</v>
      </c>
      <c r="E17" s="279">
        <f>VLOOKUP(B17,'Financial aid by type'!B:G,5,0)</f>
        <v>0</v>
      </c>
      <c r="F17" s="279">
        <f>VLOOKUP(B17,'Financial aid by type'!B:G,4,0)</f>
        <v>0</v>
      </c>
      <c r="G17" s="279">
        <f t="shared" si="0"/>
        <v>0.25</v>
      </c>
      <c r="H17" s="279"/>
    </row>
    <row r="18" spans="2:8">
      <c r="B18" s="281" t="s">
        <v>1645</v>
      </c>
      <c r="C18" s="279">
        <f>VLOOKUP(B18,'Financial aid by type'!B:G,2,0)</f>
        <v>0</v>
      </c>
      <c r="D18" s="279">
        <f>VLOOKUP(B18,'Financial aid by type'!B:G,3,0)</f>
        <v>0.10727550385550801</v>
      </c>
      <c r="E18" s="279">
        <f>VLOOKUP(B18,'Financial aid by type'!B:G,5,0)</f>
        <v>9.1348484848484846E-2</v>
      </c>
      <c r="F18" s="279">
        <f>VLOOKUP(B18,'Financial aid by type'!B:G,4,0)</f>
        <v>0</v>
      </c>
      <c r="G18" s="279">
        <f t="shared" si="0"/>
        <v>0.19862398870399284</v>
      </c>
      <c r="H18" s="279"/>
    </row>
    <row r="19" spans="2:8">
      <c r="B19" s="281" t="s">
        <v>1215</v>
      </c>
      <c r="C19" s="279">
        <f>VLOOKUP(B19,'Financial aid by type'!B:G,2,0)</f>
        <v>0</v>
      </c>
      <c r="D19" s="279">
        <f>VLOOKUP(B19,'Financial aid by type'!B:G,3,0)</f>
        <v>0</v>
      </c>
      <c r="E19" s="279">
        <f>VLOOKUP(B19,'Financial aid by type'!B:G,5,0)</f>
        <v>0.08</v>
      </c>
      <c r="F19" s="279">
        <f>VLOOKUP(B19,'Financial aid by type'!B:G,4,0)</f>
        <v>0</v>
      </c>
      <c r="G19" s="279">
        <f t="shared" si="0"/>
        <v>0.08</v>
      </c>
      <c r="H19" s="279"/>
    </row>
    <row r="20" spans="2:8">
      <c r="B20" s="281" t="s">
        <v>701</v>
      </c>
      <c r="C20" s="279">
        <f>VLOOKUP(B20,'Financial aid by type'!B:G,2,0)</f>
        <v>0</v>
      </c>
      <c r="D20" s="279">
        <f>VLOOKUP(B20,'Financial aid by type'!B:G,3,0)</f>
        <v>7.4999999999999997E-2</v>
      </c>
      <c r="E20" s="279">
        <f>VLOOKUP(B20,'Financial aid by type'!B:G,5,0)</f>
        <v>0</v>
      </c>
      <c r="F20" s="279">
        <f>VLOOKUP(B20,'Financial aid by type'!B:G,4,0)</f>
        <v>0</v>
      </c>
      <c r="G20" s="279">
        <f t="shared" si="0"/>
        <v>7.4999999999999997E-2</v>
      </c>
      <c r="H20" s="279"/>
    </row>
    <row r="21" spans="2:8">
      <c r="B21" s="281" t="s">
        <v>257</v>
      </c>
      <c r="C21" s="279">
        <f>VLOOKUP(B21,'Financial aid by type'!B:G,2,0)</f>
        <v>0</v>
      </c>
      <c r="D21" s="279">
        <f>VLOOKUP(B21,'Financial aid by type'!B:G,3,0)</f>
        <v>4.6899999999999997E-2</v>
      </c>
      <c r="E21" s="279">
        <f>VLOOKUP(B21,'Financial aid by type'!B:G,5,0)</f>
        <v>0</v>
      </c>
      <c r="F21" s="279">
        <f>VLOOKUP(B21,'Financial aid by type'!B:G,4,0)</f>
        <v>0</v>
      </c>
      <c r="G21" s="279">
        <f t="shared" si="0"/>
        <v>4.6899999999999997E-2</v>
      </c>
      <c r="H21" s="279"/>
    </row>
    <row r="22" spans="2:8">
      <c r="B22" s="282" t="s">
        <v>1306</v>
      </c>
      <c r="C22" s="279">
        <f>VLOOKUP(B22,'Financial aid by type'!B:G,2,0)</f>
        <v>0</v>
      </c>
      <c r="D22" s="279">
        <f>VLOOKUP(B22,'Financial aid by type'!B:G,3,0)</f>
        <v>3.3980252618906609E-2</v>
      </c>
      <c r="E22" s="279">
        <f>VLOOKUP(B22,'Financial aid by type'!B:G,5,0)</f>
        <v>0</v>
      </c>
      <c r="F22" s="279">
        <f>VLOOKUP(B22,'Financial aid by type'!B:G,4,0)</f>
        <v>0</v>
      </c>
      <c r="G22" s="279">
        <f t="shared" si="0"/>
        <v>3.3980252618906609E-2</v>
      </c>
      <c r="H22" s="279"/>
    </row>
    <row r="23" spans="2:8">
      <c r="B23" s="281" t="s">
        <v>618</v>
      </c>
      <c r="C23" s="279">
        <f>VLOOKUP(B23,'Financial aid by type'!B:G,2,0)</f>
        <v>0</v>
      </c>
      <c r="D23" s="279">
        <f>VLOOKUP(B23,'Financial aid by type'!B:G,3,0)</f>
        <v>0.02</v>
      </c>
      <c r="E23" s="279">
        <f>VLOOKUP(B23,'Financial aid by type'!B:G,5,0)</f>
        <v>0</v>
      </c>
      <c r="F23" s="279">
        <f>VLOOKUP(B23,'Financial aid by type'!B:G,4,0)</f>
        <v>0</v>
      </c>
      <c r="G23" s="279">
        <f t="shared" si="0"/>
        <v>0.02</v>
      </c>
      <c r="H23" s="279"/>
    </row>
    <row r="24" spans="2:8">
      <c r="B24" s="281" t="s">
        <v>1119</v>
      </c>
      <c r="C24" s="279">
        <f>VLOOKUP(B24,'Financial aid by type'!B:G,2,0)</f>
        <v>0</v>
      </c>
      <c r="D24" s="279">
        <f>VLOOKUP(B24,'Financial aid by type'!B:G,3,0)</f>
        <v>5.0000000000000001E-3</v>
      </c>
      <c r="E24" s="279">
        <f>VLOOKUP(B24,'Financial aid by type'!B:G,5,0)</f>
        <v>0.01</v>
      </c>
      <c r="F24" s="279">
        <f>VLOOKUP(B24,'Financial aid by type'!B:G,4,0)</f>
        <v>0</v>
      </c>
      <c r="G24" s="279">
        <f t="shared" si="0"/>
        <v>1.4999999999999999E-2</v>
      </c>
      <c r="H24" s="279"/>
    </row>
    <row r="25" spans="2:8">
      <c r="B25" s="285" t="s">
        <v>1721</v>
      </c>
      <c r="C25" s="285">
        <f>VLOOKUP(B25,'Financial aid by type'!B:G,2,0)</f>
        <v>0</v>
      </c>
      <c r="D25" s="285">
        <f>VLOOKUP(B25,'Financial aid by type'!B:G,3,0)</f>
        <v>1.1837121212121207E-2</v>
      </c>
      <c r="E25" s="285">
        <f>VLOOKUP(B25,'Financial aid by type'!B:G,5,0)</f>
        <v>0</v>
      </c>
      <c r="F25" s="285">
        <f>VLOOKUP(B25,'Financial aid by type'!B:G,4,0)</f>
        <v>0</v>
      </c>
      <c r="G25" s="285">
        <f t="shared" si="0"/>
        <v>1.1837121212121207E-2</v>
      </c>
      <c r="H25" s="279"/>
    </row>
    <row r="26" spans="2:8">
      <c r="B26" s="281" t="s">
        <v>1147</v>
      </c>
      <c r="C26" s="279">
        <f>VLOOKUP(B26,'Financial aid by type'!B:G,2,0)</f>
        <v>0</v>
      </c>
      <c r="D26" s="279">
        <f>VLOOKUP(B26,'Financial aid by type'!B:G,3,0)</f>
        <v>5.0000000000000001E-3</v>
      </c>
      <c r="E26" s="279">
        <f>VLOOKUP(B26,'Financial aid by type'!B:G,5,0)</f>
        <v>0</v>
      </c>
      <c r="F26" s="279">
        <f>VLOOKUP(B26,'Financial aid by type'!B:G,4,0)</f>
        <v>0</v>
      </c>
      <c r="G26" s="279">
        <f t="shared" si="0"/>
        <v>5.0000000000000001E-3</v>
      </c>
      <c r="H26" s="279"/>
    </row>
    <row r="27" spans="2:8">
      <c r="B27" s="281" t="s">
        <v>503</v>
      </c>
      <c r="C27" s="279">
        <f>VLOOKUP(B27,'Financial aid by type'!B:G,2,0)</f>
        <v>0</v>
      </c>
      <c r="D27" s="279">
        <f>VLOOKUP(B27,'Financial aid by type'!B:G,3,0)</f>
        <v>4.0451438048622632E-4</v>
      </c>
      <c r="E27" s="279">
        <f>VLOOKUP(B27,'Financial aid by type'!B:G,5,0)</f>
        <v>0</v>
      </c>
      <c r="F27" s="279">
        <f>VLOOKUP(B27,'Financial aid by type'!B:G,4,0)</f>
        <v>0</v>
      </c>
      <c r="G27" s="279">
        <f t="shared" si="0"/>
        <v>4.0451438048622632E-4</v>
      </c>
      <c r="H27" s="279"/>
    </row>
    <row r="28" spans="2:8">
      <c r="B28" s="281" t="s">
        <v>1546</v>
      </c>
      <c r="C28" s="279">
        <f>VLOOKUP(B28,'Financial aid by type'!B:G,2,0)</f>
        <v>0</v>
      </c>
      <c r="D28" s="279">
        <f>VLOOKUP(B28,'Financial aid by type'!B:G,3,0)</f>
        <v>1E-4</v>
      </c>
      <c r="E28" s="279">
        <f>VLOOKUP(B28,'Financial aid by type'!B:G,5,0)</f>
        <v>0</v>
      </c>
      <c r="F28" s="279">
        <f>VLOOKUP(B28,'Financial aid by type'!B:G,4,0)</f>
        <v>0</v>
      </c>
      <c r="G28" s="279">
        <f t="shared" si="0"/>
        <v>1E-4</v>
      </c>
      <c r="H28" s="279"/>
    </row>
    <row r="29" spans="2:8">
      <c r="B29" s="282" t="s">
        <v>189</v>
      </c>
      <c r="C29" s="279">
        <f>VLOOKUP(B29,'Financial aid by type'!B:G,2,0)</f>
        <v>0</v>
      </c>
      <c r="D29" s="279">
        <f>VLOOKUP(B29,'Financial aid by type'!B:G,3,0)</f>
        <v>0</v>
      </c>
      <c r="E29" s="279">
        <f>VLOOKUP(B29,'Financial aid by type'!B:G,5,0)</f>
        <v>0</v>
      </c>
      <c r="F29" s="279">
        <f>VLOOKUP(B29,'Financial aid by type'!B:G,4,0)</f>
        <v>0</v>
      </c>
      <c r="G29" s="279">
        <f t="shared" si="0"/>
        <v>0</v>
      </c>
      <c r="H29" s="279"/>
    </row>
    <row r="30" spans="2:8">
      <c r="B30" s="281" t="s">
        <v>296</v>
      </c>
      <c r="C30" s="279">
        <f>VLOOKUP(B30,'Financial aid by type'!B:G,2,0)</f>
        <v>0</v>
      </c>
      <c r="D30" s="279">
        <f>VLOOKUP(B30,'Financial aid by type'!B:G,3,0)</f>
        <v>0</v>
      </c>
      <c r="E30" s="279">
        <f>VLOOKUP(B30,'Financial aid by type'!B:G,5,0)</f>
        <v>0</v>
      </c>
      <c r="F30" s="279">
        <f>VLOOKUP(B30,'Financial aid by type'!B:G,4,0)</f>
        <v>0</v>
      </c>
      <c r="G30" s="279">
        <f t="shared" si="0"/>
        <v>0</v>
      </c>
      <c r="H30" s="279"/>
    </row>
    <row r="31" spans="2:8">
      <c r="B31" s="281" t="s">
        <v>329</v>
      </c>
      <c r="C31" s="279">
        <f>VLOOKUP(B31,'Financial aid by type'!B:G,2,0)</f>
        <v>0</v>
      </c>
      <c r="D31" s="279">
        <f>VLOOKUP(B31,'Financial aid by type'!B:G,3,0)</f>
        <v>0</v>
      </c>
      <c r="E31" s="279">
        <f>VLOOKUP(B31,'Financial aid by type'!B:G,5,0)</f>
        <v>0</v>
      </c>
      <c r="F31" s="279">
        <f>VLOOKUP(B31,'Financial aid by type'!B:G,4,0)</f>
        <v>0</v>
      </c>
      <c r="G31" s="279">
        <f t="shared" si="0"/>
        <v>0</v>
      </c>
      <c r="H31" s="279"/>
    </row>
    <row r="32" spans="2:8">
      <c r="B32" s="281" t="s">
        <v>464</v>
      </c>
      <c r="C32" s="279">
        <f>VLOOKUP(B32,'Financial aid by type'!B:G,2,0)</f>
        <v>0</v>
      </c>
      <c r="D32" s="279">
        <f>VLOOKUP(B32,'Financial aid by type'!B:G,3,0)</f>
        <v>0</v>
      </c>
      <c r="E32" s="279">
        <f>VLOOKUP(B32,'Financial aid by type'!B:G,5,0)</f>
        <v>0</v>
      </c>
      <c r="F32" s="279">
        <f>VLOOKUP(B32,'Financial aid by type'!B:G,4,0)</f>
        <v>0</v>
      </c>
      <c r="G32" s="279">
        <f t="shared" si="0"/>
        <v>0</v>
      </c>
      <c r="H32" s="279"/>
    </row>
    <row r="33" spans="2:27">
      <c r="B33" s="281" t="s">
        <v>490</v>
      </c>
      <c r="C33" s="279">
        <f>VLOOKUP(B33,'Financial aid by type'!B:G,2,0)</f>
        <v>0</v>
      </c>
      <c r="D33" s="279">
        <f>VLOOKUP(B33,'Financial aid by type'!B:G,3,0)</f>
        <v>0</v>
      </c>
      <c r="E33" s="279">
        <f>VLOOKUP(B33,'Financial aid by type'!B:G,5,0)</f>
        <v>0</v>
      </c>
      <c r="F33" s="279">
        <f>VLOOKUP(B33,'Financial aid by type'!B:G,4,0)</f>
        <v>0</v>
      </c>
      <c r="G33" s="279">
        <f t="shared" si="0"/>
        <v>0</v>
      </c>
      <c r="H33" s="279"/>
    </row>
    <row r="34" spans="2:27">
      <c r="B34" s="281" t="s">
        <v>666</v>
      </c>
      <c r="C34" s="279">
        <f>VLOOKUP(B34,'Financial aid by type'!B:G,2,0)</f>
        <v>0</v>
      </c>
      <c r="D34" s="279">
        <f>VLOOKUP(B34,'Financial aid by type'!B:G,3,0)</f>
        <v>0</v>
      </c>
      <c r="E34" s="279">
        <f>VLOOKUP(B34,'Financial aid by type'!B:G,5,0)</f>
        <v>0</v>
      </c>
      <c r="F34" s="279">
        <f>VLOOKUP(B34,'Financial aid by type'!B:G,4,0)</f>
        <v>0</v>
      </c>
      <c r="G34" s="279">
        <f t="shared" si="0"/>
        <v>0</v>
      </c>
      <c r="H34" s="279"/>
    </row>
    <row r="35" spans="2:27">
      <c r="B35" s="281" t="s">
        <v>926</v>
      </c>
      <c r="C35" s="279">
        <f>VLOOKUP(B35,'Financial aid by type'!B:G,2,0)</f>
        <v>0</v>
      </c>
      <c r="D35" s="279">
        <f>VLOOKUP(B35,'Financial aid by type'!B:G,3,0)</f>
        <v>0</v>
      </c>
      <c r="E35" s="279">
        <f>VLOOKUP(B35,'Financial aid by type'!B:G,5,0)</f>
        <v>0</v>
      </c>
      <c r="F35" s="279">
        <f>VLOOKUP(B35,'Financial aid by type'!B:G,4,0)</f>
        <v>0</v>
      </c>
      <c r="G35" s="279">
        <f t="shared" si="0"/>
        <v>0</v>
      </c>
      <c r="H35" s="279"/>
    </row>
    <row r="36" spans="2:27">
      <c r="B36" s="281" t="s">
        <v>963</v>
      </c>
      <c r="C36" s="279">
        <f>VLOOKUP(B36,'Financial aid by type'!B:G,2,0)</f>
        <v>0</v>
      </c>
      <c r="D36" s="279">
        <f>VLOOKUP(B36,'Financial aid by type'!B:G,3,0)</f>
        <v>0</v>
      </c>
      <c r="E36" s="279">
        <f>VLOOKUP(B36,'Financial aid by type'!B:G,5,0)</f>
        <v>0</v>
      </c>
      <c r="F36" s="279">
        <f>VLOOKUP(B36,'Financial aid by type'!B:G,4,0)</f>
        <v>0</v>
      </c>
      <c r="G36" s="279">
        <f t="shared" si="0"/>
        <v>0</v>
      </c>
      <c r="H36" s="279"/>
    </row>
    <row r="37" spans="2:27">
      <c r="B37" s="281" t="s">
        <v>1006</v>
      </c>
      <c r="C37" s="279">
        <f>VLOOKUP(B37,'Financial aid by type'!B:G,2,0)</f>
        <v>0</v>
      </c>
      <c r="D37" s="279">
        <f>VLOOKUP(B37,'Financial aid by type'!B:G,3,0)</f>
        <v>0</v>
      </c>
      <c r="E37" s="279">
        <f>VLOOKUP(B37,'Financial aid by type'!B:G,5,0)</f>
        <v>0</v>
      </c>
      <c r="F37" s="279">
        <f>VLOOKUP(B37,'Financial aid by type'!B:G,4,0)</f>
        <v>0</v>
      </c>
      <c r="G37" s="279">
        <f t="shared" si="0"/>
        <v>0</v>
      </c>
      <c r="H37" s="279"/>
    </row>
    <row r="38" spans="2:27">
      <c r="B38" s="281" t="s">
        <v>1187</v>
      </c>
      <c r="C38" s="279">
        <f>VLOOKUP(B38,'Financial aid by type'!B:G,2,0)</f>
        <v>0</v>
      </c>
      <c r="D38" s="279">
        <f>VLOOKUP(B38,'Financial aid by type'!B:G,3,0)</f>
        <v>0</v>
      </c>
      <c r="E38" s="279">
        <f>VLOOKUP(B38,'Financial aid by type'!B:G,5,0)</f>
        <v>0</v>
      </c>
      <c r="F38" s="279">
        <f>VLOOKUP(B38,'Financial aid by type'!B:G,4,0)</f>
        <v>0</v>
      </c>
      <c r="G38" s="279">
        <f t="shared" si="0"/>
        <v>0</v>
      </c>
      <c r="H38" s="279"/>
    </row>
    <row r="39" spans="2:27">
      <c r="B39" s="281" t="s">
        <v>1207</v>
      </c>
      <c r="C39" s="279">
        <f>VLOOKUP(B39,'Financial aid by type'!B:G,2,0)</f>
        <v>0</v>
      </c>
      <c r="D39" s="279">
        <f>VLOOKUP(B39,'Financial aid by type'!B:G,3,0)</f>
        <v>0</v>
      </c>
      <c r="E39" s="279">
        <f>VLOOKUP(B39,'Financial aid by type'!B:G,5,0)</f>
        <v>0</v>
      </c>
      <c r="F39" s="279">
        <f>VLOOKUP(B39,'Financial aid by type'!B:G,4,0)</f>
        <v>0</v>
      </c>
      <c r="G39" s="279">
        <f t="shared" si="0"/>
        <v>0</v>
      </c>
      <c r="H39" s="279"/>
    </row>
    <row r="40" spans="2:27">
      <c r="B40" s="282" t="s">
        <v>1273</v>
      </c>
      <c r="C40" s="279">
        <f>VLOOKUP(B40,'Financial aid by type'!B:G,2,0)</f>
        <v>0</v>
      </c>
      <c r="D40" s="279">
        <f>VLOOKUP(B40,'Financial aid by type'!B:G,3,0)</f>
        <v>0</v>
      </c>
      <c r="E40" s="279">
        <f>VLOOKUP(B40,'Financial aid by type'!B:G,5,0)</f>
        <v>0</v>
      </c>
      <c r="F40" s="279">
        <f>VLOOKUP(B40,'Financial aid by type'!B:G,4,0)</f>
        <v>0</v>
      </c>
      <c r="G40" s="279">
        <f t="shared" si="0"/>
        <v>0</v>
      </c>
      <c r="H40" s="279"/>
    </row>
    <row r="41" spans="2:27">
      <c r="B41" s="282" t="s">
        <v>1449</v>
      </c>
      <c r="C41" s="279">
        <f>VLOOKUP(B41,'Financial aid by type'!B:G,2,0)</f>
        <v>0</v>
      </c>
      <c r="D41" s="279">
        <f>VLOOKUP(B41,'Financial aid by type'!B:G,3,0)</f>
        <v>0</v>
      </c>
      <c r="E41" s="279">
        <f>VLOOKUP(B41,'Financial aid by type'!B:G,5,0)</f>
        <v>0</v>
      </c>
      <c r="F41" s="279">
        <f>VLOOKUP(B41,'Financial aid by type'!B:G,4,0)</f>
        <v>0</v>
      </c>
      <c r="G41" s="279">
        <f t="shared" si="0"/>
        <v>0</v>
      </c>
      <c r="H41" s="279"/>
    </row>
    <row r="42" spans="2:27">
      <c r="B42" s="281" t="s">
        <v>1478</v>
      </c>
      <c r="C42" s="279">
        <f>VLOOKUP(B42,'Financial aid by type'!B:G,2,0)</f>
        <v>0</v>
      </c>
      <c r="D42" s="279">
        <f>VLOOKUP(B42,'Financial aid by type'!B:G,3,0)</f>
        <v>0</v>
      </c>
      <c r="E42" s="279">
        <f>VLOOKUP(B42,'Financial aid by type'!B:G,5,0)</f>
        <v>0</v>
      </c>
      <c r="F42" s="279">
        <f>VLOOKUP(B42,'Financial aid by type'!B:G,4,0)</f>
        <v>0</v>
      </c>
      <c r="G42" s="279">
        <f t="shared" si="0"/>
        <v>0</v>
      </c>
      <c r="H42" s="279"/>
    </row>
    <row r="43" spans="2:27">
      <c r="B43" s="281" t="s">
        <v>1507</v>
      </c>
      <c r="C43" s="279">
        <f>VLOOKUP(B43,'Financial aid by type'!B:G,2,0)</f>
        <v>0</v>
      </c>
      <c r="D43" s="279">
        <f>VLOOKUP(B43,'Financial aid by type'!B:G,3,0)</f>
        <v>0</v>
      </c>
      <c r="E43" s="279">
        <f>VLOOKUP(B43,'Financial aid by type'!B:G,5,0)</f>
        <v>0</v>
      </c>
      <c r="F43" s="279">
        <f>VLOOKUP(B43,'Financial aid by type'!B:G,4,0)</f>
        <v>0</v>
      </c>
      <c r="G43" s="279">
        <f t="shared" si="0"/>
        <v>0</v>
      </c>
      <c r="H43" s="279"/>
    </row>
    <row r="44" spans="2:27">
      <c r="B44" s="281" t="s">
        <v>1587</v>
      </c>
      <c r="C44" s="279">
        <f>VLOOKUP(B44,'Financial aid by type'!B:G,2,0)</f>
        <v>0</v>
      </c>
      <c r="D44" s="279">
        <f>VLOOKUP(B44,'Financial aid by type'!B:G,3,0)</f>
        <v>0</v>
      </c>
      <c r="E44" s="279">
        <f>VLOOKUP(B44,'Financial aid by type'!B:G,5,0)</f>
        <v>0</v>
      </c>
      <c r="F44" s="279">
        <f>VLOOKUP(B44,'Financial aid by type'!B:G,4,0)</f>
        <v>0</v>
      </c>
      <c r="G44" s="279">
        <f t="shared" si="0"/>
        <v>0</v>
      </c>
      <c r="H44" s="279"/>
    </row>
    <row r="45" spans="2:27">
      <c r="B45" s="282" t="s">
        <v>1694</v>
      </c>
      <c r="C45" s="279">
        <f>VLOOKUP(B45,'Financial aid by type'!B:G,2,0)</f>
        <v>0</v>
      </c>
      <c r="D45" s="279">
        <f>VLOOKUP(B45,'Financial aid by type'!B:G,3,0)</f>
        <v>0</v>
      </c>
      <c r="E45" s="279">
        <f>VLOOKUP(B45,'Financial aid by type'!B:G,5,0)</f>
        <v>0</v>
      </c>
      <c r="F45" s="279">
        <f>VLOOKUP(B45,'Financial aid by type'!B:G,4,0)</f>
        <v>0</v>
      </c>
      <c r="G45" s="279">
        <f t="shared" si="0"/>
        <v>0</v>
      </c>
      <c r="H45" s="279"/>
    </row>
    <row r="46" spans="2:27">
      <c r="B46" s="287" t="s">
        <v>1702</v>
      </c>
      <c r="C46" s="285">
        <f>VLOOKUP(B46,'Financial aid by type'!B:G,2,0)</f>
        <v>0</v>
      </c>
      <c r="D46" s="285">
        <f>VLOOKUP(B46,'Financial aid by type'!B:G,3,0)</f>
        <v>0</v>
      </c>
      <c r="E46" s="285">
        <f>VLOOKUP(B46,'Financial aid by type'!B:G,5,0)</f>
        <v>0</v>
      </c>
      <c r="F46" s="285">
        <f>VLOOKUP(B46,'Financial aid by type'!B:G,4,0)</f>
        <v>0</v>
      </c>
      <c r="G46" s="285">
        <f t="shared" si="0"/>
        <v>0</v>
      </c>
    </row>
    <row r="47" spans="2:27">
      <c r="B47" s="279" t="s">
        <v>456</v>
      </c>
      <c r="C47" s="285">
        <f>VLOOKUP(B47,'Financial aid by type'!B:G,2,0)</f>
        <v>0</v>
      </c>
      <c r="D47" s="285">
        <f>VLOOKUP(B47,'Financial aid by type'!B:G,3,0)</f>
        <v>0</v>
      </c>
      <c r="E47" s="285">
        <f>VLOOKUP(B47,'Financial aid by type'!B:G,5,0)</f>
        <v>0</v>
      </c>
      <c r="F47" s="285">
        <f>VLOOKUP(B47,'Financial aid by type'!B:G,4,0)</f>
        <v>0</v>
      </c>
      <c r="G47" s="285">
        <f t="shared" si="0"/>
        <v>0</v>
      </c>
    </row>
    <row r="48" spans="2:27">
      <c r="B48" s="505" t="s">
        <v>998</v>
      </c>
      <c r="C48" s="505">
        <f>VLOOKUP(B48,'Financial aid by type'!B:G,2,0)</f>
        <v>0</v>
      </c>
      <c r="D48" s="505">
        <f>VLOOKUP(B48,'Financial aid by type'!B:G,3,0)</f>
        <v>0</v>
      </c>
      <c r="E48" s="505">
        <f>VLOOKUP(B48,'Financial aid by type'!B:G,5,0)</f>
        <v>0</v>
      </c>
      <c r="F48" s="505">
        <f>VLOOKUP(B48,'Financial aid by type'!B:G,4,0)</f>
        <v>0</v>
      </c>
      <c r="G48" s="505">
        <f t="shared" si="0"/>
        <v>0</v>
      </c>
      <c r="M48" s="1007" t="s">
        <v>2745</v>
      </c>
      <c r="N48" s="1007"/>
      <c r="O48" s="1007"/>
      <c r="P48" s="1007"/>
      <c r="Q48" s="1007"/>
      <c r="R48" s="1007"/>
      <c r="S48" s="1007"/>
      <c r="T48" s="1007"/>
      <c r="U48" s="1007"/>
      <c r="V48" s="1007"/>
      <c r="W48" s="1007"/>
      <c r="X48" s="1007"/>
      <c r="Y48" s="1007"/>
      <c r="Z48" s="1007"/>
      <c r="AA48" s="1007"/>
    </row>
    <row r="49" spans="2:27">
      <c r="M49" s="1007"/>
      <c r="N49" s="1007"/>
      <c r="O49" s="1007"/>
      <c r="P49" s="1007"/>
      <c r="Q49" s="1007"/>
      <c r="R49" s="1007"/>
      <c r="S49" s="1007"/>
      <c r="T49" s="1007"/>
      <c r="U49" s="1007"/>
      <c r="V49" s="1007"/>
      <c r="W49" s="1007"/>
      <c r="X49" s="1007"/>
      <c r="Y49" s="1007"/>
      <c r="Z49" s="1007"/>
      <c r="AA49" s="1007"/>
    </row>
    <row r="50" spans="2:27">
      <c r="B50" s="414" t="s">
        <v>2717</v>
      </c>
      <c r="C50" s="415">
        <f>SUM(C8:C48)</f>
        <v>16.415140105920674</v>
      </c>
      <c r="D50" s="415">
        <f t="shared" ref="D50:G50" si="1">SUM(D8:D48)</f>
        <v>11.693135246217949</v>
      </c>
      <c r="E50" s="415">
        <f t="shared" si="1"/>
        <v>2.9791538656336551</v>
      </c>
      <c r="F50" s="415">
        <f t="shared" si="1"/>
        <v>0.94696969696969691</v>
      </c>
      <c r="G50" s="415">
        <f t="shared" si="1"/>
        <v>32.034398914741985</v>
      </c>
      <c r="M50" s="1007"/>
      <c r="N50" s="1007"/>
      <c r="O50" s="1007"/>
      <c r="P50" s="1007"/>
      <c r="Q50" s="1007"/>
      <c r="R50" s="1007"/>
      <c r="S50" s="1007"/>
      <c r="T50" s="1007"/>
      <c r="U50" s="1007"/>
      <c r="V50" s="1007"/>
      <c r="W50" s="1007"/>
      <c r="X50" s="1007"/>
      <c r="Y50" s="1007"/>
      <c r="Z50" s="1007"/>
      <c r="AA50" s="1007"/>
    </row>
  </sheetData>
  <sortState xmlns:xlrd2="http://schemas.microsoft.com/office/spreadsheetml/2017/richdata2" ref="B8:G48">
    <sortCondition descending="1" ref="G8:G48"/>
  </sortState>
  <mergeCells count="1">
    <mergeCell ref="M48:AA5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00"/>
  </sheetPr>
  <dimension ref="B2:Y50"/>
  <sheetViews>
    <sheetView showGridLines="0" topLeftCell="D1" zoomScale="85" zoomScaleNormal="85" workbookViewId="0">
      <selection activeCell="F4" sqref="F4"/>
    </sheetView>
  </sheetViews>
  <sheetFormatPr defaultColWidth="8.625" defaultRowHeight="15.75"/>
  <cols>
    <col min="1" max="1" width="8.625" style="279"/>
    <col min="2" max="2" width="15.875" style="279" customWidth="1"/>
    <col min="3" max="3" width="57.125" style="279" bestFit="1" customWidth="1"/>
    <col min="4" max="4" width="52" style="279" bestFit="1" customWidth="1"/>
    <col min="5" max="5" width="32.625" style="279" bestFit="1" customWidth="1"/>
    <col min="6" max="16384" width="8.625" style="279"/>
  </cols>
  <sheetData>
    <row r="2" spans="2:8">
      <c r="B2" s="139"/>
    </row>
    <row r="3" spans="2:8">
      <c r="B3" s="139" t="s">
        <v>2746</v>
      </c>
    </row>
    <row r="4" spans="2:8" ht="21">
      <c r="H4" s="453" t="s">
        <v>2747</v>
      </c>
    </row>
    <row r="7" spans="2:8">
      <c r="B7" s="425" t="s">
        <v>2156</v>
      </c>
      <c r="C7" s="425" t="s">
        <v>2748</v>
      </c>
      <c r="D7" s="425" t="s">
        <v>2749</v>
      </c>
      <c r="E7" s="425" t="s">
        <v>2750</v>
      </c>
    </row>
    <row r="8" spans="2:8">
      <c r="B8" s="286" t="s">
        <v>1837</v>
      </c>
      <c r="C8" s="426">
        <f>VLOOKUP(B8,'AGGREGATES by country'!B:S,17,0)</f>
        <v>6.3708799922424184</v>
      </c>
      <c r="D8" s="417">
        <f>SUMIFS('MAIN DATASET'!S:S,'MAIN DATASET'!B:B,B8,'MAIN DATASET'!D:D,"Military")/1000000000</f>
        <v>2.4444611401515148</v>
      </c>
      <c r="E8" s="285">
        <f t="shared" ref="E8:E29" si="0">D8/C8*100</f>
        <v>38.369285610905294</v>
      </c>
    </row>
    <row r="9" spans="2:8">
      <c r="B9" s="281" t="s">
        <v>1364</v>
      </c>
      <c r="C9" s="283">
        <f>VLOOKUP(B9,'AGGREGATES by country'!B:S,17,0)</f>
        <v>1.8</v>
      </c>
      <c r="D9" s="284">
        <f>SUMIFS('MAIN DATASET'!S:S,'MAIN DATASET'!B:B,B9,'MAIN DATASET'!D:D,"Military")/1000000000</f>
        <v>1.8</v>
      </c>
      <c r="E9" s="279">
        <f t="shared" si="0"/>
        <v>100</v>
      </c>
    </row>
    <row r="10" spans="2:8">
      <c r="B10" s="281" t="s">
        <v>1741</v>
      </c>
      <c r="C10" s="283">
        <f>VLOOKUP(B10,'AGGREGATES by country'!B:S,17,0)</f>
        <v>1.1051816336566063</v>
      </c>
      <c r="D10" s="284">
        <f>SUMIFS('MAIN DATASET'!S:S,'MAIN DATASET'!B:B,B10,'MAIN DATASET'!D:D,"Military")/1000000000</f>
        <v>1.003110598550895</v>
      </c>
      <c r="E10" s="279">
        <f t="shared" si="0"/>
        <v>90.764320361712961</v>
      </c>
    </row>
    <row r="11" spans="2:8">
      <c r="B11" s="281" t="s">
        <v>350</v>
      </c>
      <c r="C11" s="283">
        <f>VLOOKUP(B11,'AGGREGATES by country'!B:S,17,0)</f>
        <v>0.91932362269517987</v>
      </c>
      <c r="D11" s="284">
        <f>SUMIFS('MAIN DATASET'!S:S,'MAIN DATASET'!B:B,B11,'MAIN DATASET'!D:D,"Military")/1000000000</f>
        <v>0.75819317877472547</v>
      </c>
      <c r="E11" s="279">
        <f t="shared" si="0"/>
        <v>82.472935542756048</v>
      </c>
    </row>
    <row r="12" spans="2:8">
      <c r="B12" s="282" t="s">
        <v>1306</v>
      </c>
      <c r="C12" s="283">
        <f>VLOOKUP(B12,'AGGREGATES by country'!B:S,17,0)</f>
        <v>0.45484990530303021</v>
      </c>
      <c r="D12" s="284">
        <f>SUMIFS('MAIN DATASET'!S:S,'MAIN DATASET'!B:B,B12,'MAIN DATASET'!D:D,"Military")/1000000000</f>
        <v>0.43643134469696965</v>
      </c>
      <c r="E12" s="279">
        <f t="shared" si="0"/>
        <v>95.950628901683572</v>
      </c>
    </row>
    <row r="13" spans="2:8">
      <c r="B13" s="281" t="s">
        <v>840</v>
      </c>
      <c r="C13" s="283">
        <f>VLOOKUP(B13,'AGGREGATES by country'!B:S,17,0)</f>
        <v>0.6751290571969697</v>
      </c>
      <c r="D13" s="284">
        <f>SUMIFS('MAIN DATASET'!S:S,'MAIN DATASET'!B:B,B13,'MAIN DATASET'!D:D,"Military")/1000000000</f>
        <v>0.26951210284090904</v>
      </c>
      <c r="E13" s="279">
        <f t="shared" si="0"/>
        <v>39.92008638465083</v>
      </c>
    </row>
    <row r="14" spans="2:8">
      <c r="B14" s="281" t="s">
        <v>666</v>
      </c>
      <c r="C14" s="283">
        <f>VLOOKUP(B14,'AGGREGATES by country'!B:S,17,0)</f>
        <v>0.245</v>
      </c>
      <c r="D14" s="284">
        <f>SUMIFS('MAIN DATASET'!S:S,'MAIN DATASET'!B:B,B14,'MAIN DATASET'!D:D,"Military")/1000000000</f>
        <v>0.24</v>
      </c>
      <c r="E14" s="279">
        <f t="shared" si="0"/>
        <v>97.959183673469383</v>
      </c>
    </row>
    <row r="15" spans="2:8">
      <c r="B15" s="281" t="s">
        <v>503</v>
      </c>
      <c r="C15" s="283">
        <f>VLOOKUP(B15,'AGGREGATES by country'!B:S,17,0)</f>
        <v>0.25621643027857555</v>
      </c>
      <c r="D15" s="284">
        <f>SUMIFS('MAIN DATASET'!S:S,'MAIN DATASET'!B:B,B15,'MAIN DATASET'!D:D,"Military")/1000000000</f>
        <v>0.22780733936948466</v>
      </c>
      <c r="E15" s="279">
        <f t="shared" si="0"/>
        <v>88.912072938412805</v>
      </c>
    </row>
    <row r="16" spans="2:8">
      <c r="B16" s="281" t="s">
        <v>1119</v>
      </c>
      <c r="C16" s="283">
        <f>VLOOKUP(B16,'AGGREGATES by country'!B:S,17,0)</f>
        <v>0.21879999999999999</v>
      </c>
      <c r="D16" s="284">
        <f>SUMIFS('MAIN DATASET'!S:S,'MAIN DATASET'!B:B,B16,'MAIN DATASET'!D:D,"Military")/1000000000</f>
        <v>0.21879999999999999</v>
      </c>
      <c r="E16" s="279">
        <f t="shared" si="0"/>
        <v>100</v>
      </c>
    </row>
    <row r="17" spans="2:5">
      <c r="B17" s="281" t="s">
        <v>618</v>
      </c>
      <c r="C17" s="283">
        <f>VLOOKUP(B17,'AGGREGATES by country'!B:S,17,0)</f>
        <v>0.26884611248521345</v>
      </c>
      <c r="D17" s="284">
        <f>SUMIFS('MAIN DATASET'!S:S,'MAIN DATASET'!B:B,B17,'MAIN DATASET'!D:D,"Military")/1000000000</f>
        <v>0.17429246912139459</v>
      </c>
      <c r="E17" s="279">
        <f t="shared" si="0"/>
        <v>64.829826814393925</v>
      </c>
    </row>
    <row r="18" spans="2:5">
      <c r="B18" s="281" t="s">
        <v>763</v>
      </c>
      <c r="C18" s="283">
        <f>VLOOKUP(B18,'AGGREGATES by country'!B:S,17,0)</f>
        <v>0.19375000000000001</v>
      </c>
      <c r="D18" s="284">
        <f>SUMIFS('MAIN DATASET'!S:S,'MAIN DATASET'!B:B,B18,'MAIN DATASET'!D:D,"Military")/1000000000</f>
        <v>0.16250000000000001</v>
      </c>
      <c r="E18" s="279">
        <f t="shared" si="0"/>
        <v>83.870967741935488</v>
      </c>
    </row>
    <row r="19" spans="2:5">
      <c r="B19" s="281" t="s">
        <v>1036</v>
      </c>
      <c r="C19" s="283">
        <f>VLOOKUP(B19,'AGGREGATES by country'!B:S,17,0)</f>
        <v>0.15</v>
      </c>
      <c r="D19" s="284">
        <f>SUMIFS('MAIN DATASET'!S:S,'MAIN DATASET'!B:B,B19,'MAIN DATASET'!D:D,"Military")/1000000000</f>
        <v>0.15</v>
      </c>
      <c r="E19" s="279">
        <f t="shared" si="0"/>
        <v>100</v>
      </c>
    </row>
    <row r="20" spans="2:5">
      <c r="B20" s="282" t="s">
        <v>189</v>
      </c>
      <c r="C20" s="283">
        <f>VLOOKUP(B20,'AGGREGATES by country'!B:S,17,0)</f>
        <v>0.18533767182415833</v>
      </c>
      <c r="D20" s="284">
        <f>SUMIFS('MAIN DATASET'!S:S,'MAIN DATASET'!B:B,B20,'MAIN DATASET'!D:D,"Military")/1000000000</f>
        <v>0.10830732452354074</v>
      </c>
      <c r="E20" s="279">
        <f t="shared" si="0"/>
        <v>58.437835901110702</v>
      </c>
    </row>
    <row r="21" spans="2:5">
      <c r="B21" s="281" t="s">
        <v>1147</v>
      </c>
      <c r="C21" s="283">
        <f>VLOOKUP(B21,'AGGREGATES by country'!B:S,17,0)</f>
        <v>5.45E-2</v>
      </c>
      <c r="D21" s="284">
        <f>SUMIFS('MAIN DATASET'!S:S,'MAIN DATASET'!B:B,B21,'MAIN DATASET'!D:D,"Military")/1000000000</f>
        <v>4.4999999999999998E-2</v>
      </c>
      <c r="E21" s="279">
        <f t="shared" si="0"/>
        <v>82.568807339449535</v>
      </c>
    </row>
    <row r="22" spans="2:5">
      <c r="B22" s="281" t="s">
        <v>296</v>
      </c>
      <c r="C22" s="283">
        <f>VLOOKUP(B22,'AGGREGATES by country'!B:S,17,0)</f>
        <v>7.5999999999999998E-2</v>
      </c>
      <c r="D22" s="284">
        <f>SUMIFS('MAIN DATASET'!S:S,'MAIN DATASET'!B:B,B22,'MAIN DATASET'!D:D,"Military")/1000000000</f>
        <v>7.5999999999999998E-2</v>
      </c>
      <c r="E22" s="279">
        <f t="shared" si="0"/>
        <v>100</v>
      </c>
    </row>
    <row r="23" spans="2:5">
      <c r="B23" s="281" t="s">
        <v>1215</v>
      </c>
      <c r="C23" s="283">
        <f>VLOOKUP(B23,'AGGREGATES by country'!B:S,17,0)</f>
        <v>8.4090909090909091E-2</v>
      </c>
      <c r="D23" s="284">
        <f>SUMIFS('MAIN DATASET'!S:S,'MAIN DATASET'!B:B,B23,'MAIN DATASET'!D:D,"Military")/1000000000</f>
        <v>7.1306818181818193E-2</v>
      </c>
      <c r="E23" s="279">
        <f t="shared" si="0"/>
        <v>84.79729729729732</v>
      </c>
    </row>
    <row r="24" spans="2:5">
      <c r="B24" s="281" t="s">
        <v>1507</v>
      </c>
      <c r="C24" s="283">
        <f>VLOOKUP(B24,'AGGREGATES by country'!B:S,17,0)</f>
        <v>0.16365189393939392</v>
      </c>
      <c r="D24" s="284">
        <f>SUMIFS('MAIN DATASET'!S:S,'MAIN DATASET'!B:B,B24,'MAIN DATASET'!D:D,"Military")/1000000000</f>
        <v>0.11875189393939393</v>
      </c>
      <c r="E24" s="279">
        <f t="shared" si="0"/>
        <v>72.563715017787672</v>
      </c>
    </row>
    <row r="25" spans="2:5">
      <c r="B25" s="281" t="s">
        <v>1645</v>
      </c>
      <c r="C25" s="283">
        <f>VLOOKUP(B25,'AGGREGATES by country'!B:S,17,0)</f>
        <v>7.5188645876003296E-2</v>
      </c>
      <c r="D25" s="284">
        <f>SUMIFS('MAIN DATASET'!S:S,'MAIN DATASET'!B:B,B25,'MAIN DATASET'!D:D,"Military")/1000000000</f>
        <v>5.0490770647406549E-2</v>
      </c>
      <c r="E25" s="279">
        <f t="shared" si="0"/>
        <v>67.152121253351154</v>
      </c>
    </row>
    <row r="26" spans="2:5">
      <c r="B26" s="281" t="s">
        <v>1187</v>
      </c>
      <c r="C26" s="283">
        <f>VLOOKUP(B26,'AGGREGATES by country'!B:S,17,0)</f>
        <v>0.05</v>
      </c>
      <c r="D26" s="284">
        <f>SUMIFS('MAIN DATASET'!S:S,'MAIN DATASET'!B:B,B26,'MAIN DATASET'!D:D,"Military")/1000000000</f>
        <v>0.05</v>
      </c>
      <c r="E26" s="279">
        <f t="shared" si="0"/>
        <v>100</v>
      </c>
    </row>
    <row r="27" spans="2:5">
      <c r="B27" s="281" t="s">
        <v>701</v>
      </c>
      <c r="C27" s="283">
        <f>VLOOKUP(B27,'AGGREGATES by country'!B:S,17,0)</f>
        <v>2.93E-2</v>
      </c>
      <c r="D27" s="284">
        <f>SUMIFS('MAIN DATASET'!S:S,'MAIN DATASET'!B:B,B27,'MAIN DATASET'!D:D,"Military")/1000000000</f>
        <v>2.93E-2</v>
      </c>
      <c r="E27" s="279">
        <f t="shared" si="0"/>
        <v>100</v>
      </c>
    </row>
    <row r="28" spans="2:5">
      <c r="B28" s="281" t="s">
        <v>1587</v>
      </c>
      <c r="C28" s="283">
        <f>VLOOKUP(B28,'AGGREGATES by country'!B:S,17,0)</f>
        <v>3.7245335227272726E-2</v>
      </c>
      <c r="D28" s="284">
        <f>SUMIFS('MAIN DATASET'!S:S,'MAIN DATASET'!B:B,B28,'MAIN DATASET'!D:D,"Military")/1000000000</f>
        <v>2.525489015151515E-2</v>
      </c>
      <c r="E28" s="279">
        <f t="shared" si="0"/>
        <v>67.806854193709526</v>
      </c>
    </row>
    <row r="29" spans="2:5">
      <c r="B29" s="281" t="s">
        <v>926</v>
      </c>
      <c r="C29" s="283">
        <f>VLOOKUP(B29,'AGGREGATES by country'!B:S,17,0)</f>
        <v>0.24734007386363635</v>
      </c>
      <c r="D29" s="284">
        <f>SUMIFS('MAIN DATASET'!S:S,'MAIN DATASET'!B:B,B29,'MAIN DATASET'!D:D,"Military")/1000000000</f>
        <v>1.4354856060606061E-2</v>
      </c>
      <c r="E29" s="279">
        <f t="shared" si="0"/>
        <v>5.8036919923134604</v>
      </c>
    </row>
    <row r="30" spans="2:5">
      <c r="B30" s="281" t="s">
        <v>1546</v>
      </c>
      <c r="C30" s="283">
        <f>VLOOKUP(B30,'AGGREGATES by country'!B:S,17,0)</f>
        <v>6.628787878787879E-3</v>
      </c>
      <c r="D30" s="284">
        <f>SUMIFS('MAIN DATASET'!S:S,'MAIN DATASET'!B:B,B30,'MAIN DATASET'!D:D,"Military")/1000000000</f>
        <v>6.628787878787879E-3</v>
      </c>
      <c r="E30" s="279">
        <v>0</v>
      </c>
    </row>
    <row r="31" spans="2:5">
      <c r="B31" s="281" t="s">
        <v>329</v>
      </c>
      <c r="C31" s="283">
        <f>VLOOKUP(B31,'AGGREGATES by country'!B:S,17,0)</f>
        <v>3.5984848484848482E-3</v>
      </c>
      <c r="D31" s="284">
        <f>SUMIFS('MAIN DATASET'!S:S,'MAIN DATASET'!B:B,B31,'MAIN DATASET'!D:D,"Military")/1000000000</f>
        <v>3.5984848484848482E-3</v>
      </c>
      <c r="E31" s="279">
        <f t="shared" ref="E31:E37" si="1">D31/C31*100</f>
        <v>100</v>
      </c>
    </row>
    <row r="32" spans="2:5">
      <c r="B32" s="281" t="s">
        <v>257</v>
      </c>
      <c r="C32" s="283">
        <f>VLOOKUP(B32,'AGGREGATES by country'!B:S,17,0)</f>
        <v>3.3860407670454539E-3</v>
      </c>
      <c r="D32" s="284">
        <f>SUMIFS('MAIN DATASET'!S:S,'MAIN DATASET'!B:B,B32,'MAIN DATASET'!D:D,"Military")/1000000000</f>
        <v>3.3860407670454539E-3</v>
      </c>
      <c r="E32" s="279">
        <f t="shared" si="1"/>
        <v>100</v>
      </c>
    </row>
    <row r="33" spans="2:25">
      <c r="B33" s="282" t="s">
        <v>1273</v>
      </c>
      <c r="C33" s="283">
        <f>VLOOKUP(B33,'AGGREGATES by country'!B:S,17,0)</f>
        <v>3.6100586281887508E-3</v>
      </c>
      <c r="D33" s="284">
        <f>SUMIFS('MAIN DATASET'!S:S,'MAIN DATASET'!B:B,B33,'MAIN DATASET'!D:D,"Military")/1000000000</f>
        <v>1.1480397727272728E-3</v>
      </c>
      <c r="E33" s="279">
        <f t="shared" si="1"/>
        <v>31.80113928795862</v>
      </c>
    </row>
    <row r="34" spans="2:25">
      <c r="B34" s="281" t="s">
        <v>464</v>
      </c>
      <c r="C34" s="283">
        <f>VLOOKUP(B34,'AGGREGATES by country'!B:S,17,0)</f>
        <v>1.6477310477709121E-2</v>
      </c>
      <c r="D34" s="284">
        <f>SUMIFS('MAIN DATASET'!S:S,'MAIN DATASET'!B:B,B34,'MAIN DATASET'!D:D,"Military")/1000000000</f>
        <v>0</v>
      </c>
      <c r="E34" s="279">
        <f t="shared" si="1"/>
        <v>0</v>
      </c>
    </row>
    <row r="35" spans="2:25">
      <c r="B35" s="281" t="s">
        <v>1478</v>
      </c>
      <c r="C35" s="283">
        <f>VLOOKUP(B35,'AGGREGATES by country'!B:S,17,0)</f>
        <v>3.0000000000000001E-3</v>
      </c>
      <c r="D35" s="284">
        <f>SUMIFS('MAIN DATASET'!S:S,'MAIN DATASET'!B:B,B35,'MAIN DATASET'!D:D,"Military")/1000000000</f>
        <v>0</v>
      </c>
      <c r="E35" s="279">
        <f t="shared" si="1"/>
        <v>0</v>
      </c>
    </row>
    <row r="36" spans="2:25">
      <c r="B36" s="281" t="s">
        <v>1408</v>
      </c>
      <c r="C36" s="283">
        <f>VLOOKUP(B36,'AGGREGATES by country'!B:S,17,0)</f>
        <v>8.7285984848484849E-3</v>
      </c>
      <c r="D36" s="284">
        <f>SUMIFS('MAIN DATASET'!S:S,'MAIN DATASET'!B:B,B36,'MAIN DATASET'!D:D,"Military")/1000000000</f>
        <v>0</v>
      </c>
      <c r="E36" s="279">
        <f t="shared" si="1"/>
        <v>0</v>
      </c>
    </row>
    <row r="37" spans="2:25">
      <c r="B37" s="282" t="s">
        <v>1449</v>
      </c>
      <c r="C37" s="283">
        <f>VLOOKUP(B37,'AGGREGATES by country'!B:S,17,0)</f>
        <v>3.3901515151515149E-3</v>
      </c>
      <c r="D37" s="284">
        <f>SUMIFS('MAIN DATASET'!S:S,'MAIN DATASET'!B:B,B37,'MAIN DATASET'!D:D,"Military")/1000000000</f>
        <v>0</v>
      </c>
      <c r="E37" s="279">
        <f t="shared" si="1"/>
        <v>0</v>
      </c>
    </row>
    <row r="38" spans="2:25">
      <c r="B38" s="281" t="s">
        <v>1006</v>
      </c>
      <c r="C38" s="283">
        <f>VLOOKUP(B38,'AGGREGATES by country'!B:S,17,0)</f>
        <v>0</v>
      </c>
      <c r="D38" s="284">
        <f>SUMIFS('MAIN DATASET'!S:S,'MAIN DATASET'!B:B,B38,'MAIN DATASET'!D:D,"Military")/1000000000</f>
        <v>0</v>
      </c>
      <c r="E38" s="279">
        <v>0</v>
      </c>
    </row>
    <row r="39" spans="2:25">
      <c r="B39" s="281" t="s">
        <v>490</v>
      </c>
      <c r="C39" s="283">
        <f>VLOOKUP(B39,'AGGREGATES by country'!B:S,17,0)</f>
        <v>0</v>
      </c>
      <c r="D39" s="284">
        <f>SUMIFS('MAIN DATASET'!S:S,'MAIN DATASET'!B:B,B39,'MAIN DATASET'!D:D,"Military")/1000000000</f>
        <v>0</v>
      </c>
      <c r="E39" s="279">
        <v>0</v>
      </c>
    </row>
    <row r="40" spans="2:25">
      <c r="B40" s="281" t="s">
        <v>1080</v>
      </c>
      <c r="C40" s="283">
        <f>VLOOKUP(B40,'AGGREGATES by country'!B:S,17,0)</f>
        <v>0</v>
      </c>
      <c r="D40" s="284">
        <f>SUMIFS('MAIN DATASET'!S:S,'MAIN DATASET'!B:B,B40,'MAIN DATASET'!D:D,"Military")/1000000000</f>
        <v>0</v>
      </c>
      <c r="E40" s="279">
        <v>0</v>
      </c>
    </row>
    <row r="41" spans="2:25">
      <c r="B41" s="281" t="s">
        <v>1207</v>
      </c>
      <c r="C41" s="283">
        <f>VLOOKUP(B41,'AGGREGATES by country'!B:S,17,0)</f>
        <v>0</v>
      </c>
      <c r="D41" s="284">
        <f>SUMIFS('MAIN DATASET'!S:S,'MAIN DATASET'!B:B,B41,'MAIN DATASET'!D:D,"Military")/1000000000</f>
        <v>0</v>
      </c>
      <c r="E41" s="279">
        <v>0</v>
      </c>
    </row>
    <row r="42" spans="2:25">
      <c r="B42" s="281" t="s">
        <v>963</v>
      </c>
      <c r="C42" s="283">
        <f>VLOOKUP(B42,'AGGREGATES by country'!B:S,17,0)</f>
        <v>0</v>
      </c>
      <c r="D42" s="284">
        <f>SUMIFS('MAIN DATASET'!S:S,'MAIN DATASET'!B:B,B42,'MAIN DATASET'!D:D,"Military")/1000000000</f>
        <v>0</v>
      </c>
      <c r="E42" s="279">
        <v>0</v>
      </c>
    </row>
    <row r="43" spans="2:25">
      <c r="B43" s="287" t="s">
        <v>1694</v>
      </c>
      <c r="C43" s="426">
        <f>VLOOKUP(B43,'AGGREGATES by country'!B:S,17,0)</f>
        <v>0</v>
      </c>
      <c r="D43" s="417">
        <f>SUMIFS('MAIN DATASET'!S:S,'MAIN DATASET'!B:B,B43,'MAIN DATASET'!D:D,"Military")/1000000000</f>
        <v>0</v>
      </c>
      <c r="E43" s="285">
        <v>0</v>
      </c>
    </row>
    <row r="44" spans="2:25">
      <c r="B44" s="287" t="s">
        <v>1702</v>
      </c>
      <c r="C44" s="426">
        <f>VLOOKUP(B44,'AGGREGATES by country'!B:S,17,0)</f>
        <v>0</v>
      </c>
      <c r="D44" s="417">
        <f>SUMIFS('MAIN DATASET'!S:S,'MAIN DATASET'!B:B,B44,'MAIN DATASET'!D:D,"Military")/1000000000</f>
        <v>0</v>
      </c>
      <c r="E44" s="285">
        <v>0</v>
      </c>
    </row>
    <row r="45" spans="2:25">
      <c r="B45" s="285" t="s">
        <v>456</v>
      </c>
      <c r="C45" s="426">
        <f>VLOOKUP(B45,'AGGREGATES by country'!B:S,17,0)</f>
        <v>0</v>
      </c>
      <c r="D45" s="417">
        <f>SUMIFS('MAIN DATASET'!S:S,'MAIN DATASET'!B:B,B45,'MAIN DATASET'!D:D,"Military")/1000000000</f>
        <v>0</v>
      </c>
      <c r="E45" s="285">
        <v>0</v>
      </c>
    </row>
    <row r="46" spans="2:25">
      <c r="B46" s="285" t="s">
        <v>1721</v>
      </c>
      <c r="C46" s="426">
        <f>VLOOKUP(B46,'AGGREGATES by country'!B:S,17,0)</f>
        <v>0</v>
      </c>
      <c r="D46" s="417">
        <f>SUMIFS('MAIN DATASET'!S:S,'MAIN DATASET'!B:B,B46,'MAIN DATASET'!D:D,"Military")/1000000000</f>
        <v>0</v>
      </c>
      <c r="E46" s="285">
        <v>0</v>
      </c>
    </row>
    <row r="47" spans="2:25">
      <c r="B47" s="505" t="s">
        <v>998</v>
      </c>
      <c r="C47" s="506">
        <f>VLOOKUP(B47,'AGGREGATES by country'!B:S,17,0)</f>
        <v>0</v>
      </c>
      <c r="D47" s="507">
        <f>SUMIFS('MAIN DATASET'!S:S,'MAIN DATASET'!B:B,B47,'MAIN DATASET'!D:D,"Military")/1000000000</f>
        <v>0</v>
      </c>
      <c r="E47" s="505">
        <v>0</v>
      </c>
      <c r="L47" s="1008" t="s">
        <v>2751</v>
      </c>
      <c r="M47" s="1008"/>
      <c r="N47" s="1008"/>
      <c r="O47" s="1008"/>
      <c r="P47" s="1008"/>
      <c r="Q47" s="1008"/>
      <c r="R47" s="1008"/>
      <c r="S47" s="1008"/>
      <c r="T47" s="1008"/>
      <c r="U47" s="1008"/>
      <c r="V47" s="1008"/>
      <c r="W47" s="1008"/>
      <c r="X47" s="1008"/>
      <c r="Y47" s="1008"/>
    </row>
    <row r="48" spans="2:25">
      <c r="L48" s="1008"/>
      <c r="M48" s="1008"/>
      <c r="N48" s="1008"/>
      <c r="O48" s="1008"/>
      <c r="P48" s="1008"/>
      <c r="Q48" s="1008"/>
      <c r="R48" s="1008"/>
      <c r="S48" s="1008"/>
      <c r="T48" s="1008"/>
      <c r="U48" s="1008"/>
      <c r="V48" s="1008"/>
      <c r="W48" s="1008"/>
      <c r="X48" s="1008"/>
      <c r="Y48" s="1008"/>
    </row>
    <row r="49" spans="2:25">
      <c r="L49" s="1008"/>
      <c r="M49" s="1008"/>
      <c r="N49" s="1008"/>
      <c r="O49" s="1008"/>
      <c r="P49" s="1008"/>
      <c r="Q49" s="1008"/>
      <c r="R49" s="1008"/>
      <c r="S49" s="1008"/>
      <c r="T49" s="1008"/>
      <c r="U49" s="1008"/>
      <c r="V49" s="1008"/>
      <c r="W49" s="1008"/>
      <c r="X49" s="1008"/>
      <c r="Y49" s="1008"/>
    </row>
    <row r="50" spans="2:25">
      <c r="B50" s="414" t="s">
        <v>2717</v>
      </c>
      <c r="C50" s="415">
        <f>SUM(C8:C47)</f>
        <v>13.709450716279584</v>
      </c>
      <c r="D50" s="415">
        <f t="shared" ref="D50:E50" si="2">SUM(D8:D47)</f>
        <v>8.4886360802772209</v>
      </c>
      <c r="E50" s="415">
        <f t="shared" si="2"/>
        <v>1953.9807702528983</v>
      </c>
      <c r="L50" s="1008"/>
      <c r="M50" s="1008"/>
      <c r="N50" s="1008"/>
      <c r="O50" s="1008"/>
      <c r="P50" s="1008"/>
      <c r="Q50" s="1008"/>
      <c r="R50" s="1008"/>
      <c r="S50" s="1008"/>
      <c r="T50" s="1008"/>
      <c r="U50" s="1008"/>
      <c r="V50" s="1008"/>
      <c r="W50" s="1008"/>
      <c r="X50" s="1008"/>
      <c r="Y50" s="1008"/>
    </row>
  </sheetData>
  <autoFilter ref="B7:E7" xr:uid="{F3E46655-0673-4B78-99B2-A0344987FAEC}">
    <sortState xmlns:xlrd2="http://schemas.microsoft.com/office/spreadsheetml/2017/richdata2" ref="B8:E44">
      <sortCondition descending="1" ref="D7"/>
    </sortState>
  </autoFilter>
  <sortState xmlns:xlrd2="http://schemas.microsoft.com/office/spreadsheetml/2017/richdata2" ref="B8:E47">
    <sortCondition descending="1" ref="D8:D47"/>
  </sortState>
  <mergeCells count="1">
    <mergeCell ref="L47:Y50"/>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AT162"/>
  <sheetViews>
    <sheetView showGridLines="0" topLeftCell="E1" zoomScale="70" zoomScaleNormal="70" workbookViewId="0">
      <selection activeCell="J4" sqref="J4"/>
    </sheetView>
  </sheetViews>
  <sheetFormatPr defaultColWidth="8.625" defaultRowHeight="15.75"/>
  <cols>
    <col min="1" max="1" width="8.625" style="319"/>
    <col min="2" max="2" width="25" style="319" customWidth="1"/>
    <col min="3" max="4" width="44.875" style="319" customWidth="1"/>
    <col min="5" max="5" width="37.125" style="319" bestFit="1" customWidth="1"/>
    <col min="6" max="6" width="17.625" style="319" bestFit="1" customWidth="1"/>
    <col min="7" max="7" width="16.875" style="319" bestFit="1" customWidth="1"/>
    <col min="8" max="8" width="12.125" style="319" customWidth="1"/>
    <col min="10" max="33" width="8.625" style="319"/>
    <col min="35" max="39" width="8.625" style="319"/>
    <col min="41" max="41" width="8.625" style="319"/>
    <col min="43" max="16384" width="8.625" style="319"/>
  </cols>
  <sheetData>
    <row r="1" spans="1:33">
      <c r="A1" s="394" t="s">
        <v>21</v>
      </c>
      <c r="B1" s="394" t="s">
        <v>21</v>
      </c>
      <c r="C1" s="394" t="s">
        <v>21</v>
      </c>
      <c r="D1" s="394"/>
      <c r="E1" s="394" t="s">
        <v>21</v>
      </c>
      <c r="F1" s="394" t="s">
        <v>21</v>
      </c>
      <c r="G1" s="394" t="s">
        <v>21</v>
      </c>
      <c r="J1" s="394" t="s">
        <v>21</v>
      </c>
      <c r="K1" s="394" t="s">
        <v>21</v>
      </c>
      <c r="L1" s="394" t="s">
        <v>21</v>
      </c>
      <c r="M1" s="394" t="s">
        <v>21</v>
      </c>
      <c r="N1" s="394" t="s">
        <v>21</v>
      </c>
      <c r="O1" s="394" t="s">
        <v>21</v>
      </c>
      <c r="P1" s="395"/>
      <c r="Q1" s="396" t="s">
        <v>21</v>
      </c>
      <c r="R1" s="396" t="s">
        <v>21</v>
      </c>
      <c r="S1" s="396" t="s">
        <v>21</v>
      </c>
      <c r="T1" s="396" t="s">
        <v>21</v>
      </c>
      <c r="U1" s="396" t="s">
        <v>21</v>
      </c>
      <c r="V1" s="396" t="s">
        <v>21</v>
      </c>
      <c r="W1" s="396" t="s">
        <v>21</v>
      </c>
      <c r="X1" s="396" t="s">
        <v>21</v>
      </c>
      <c r="Y1" s="396" t="s">
        <v>21</v>
      </c>
      <c r="Z1" s="394" t="s">
        <v>21</v>
      </c>
      <c r="AA1" s="394" t="s">
        <v>21</v>
      </c>
      <c r="AB1" s="394" t="s">
        <v>21</v>
      </c>
      <c r="AC1" s="394" t="s">
        <v>21</v>
      </c>
      <c r="AD1" s="394" t="s">
        <v>21</v>
      </c>
      <c r="AE1" s="394" t="s">
        <v>21</v>
      </c>
      <c r="AF1" s="394" t="s">
        <v>21</v>
      </c>
      <c r="AG1" s="394" t="s">
        <v>21</v>
      </c>
    </row>
    <row r="2" spans="1:33">
      <c r="A2" s="397" t="s">
        <v>21</v>
      </c>
      <c r="B2" s="64" t="s">
        <v>21</v>
      </c>
      <c r="C2" s="397" t="s">
        <v>21</v>
      </c>
      <c r="D2" s="397"/>
      <c r="E2" s="820"/>
      <c r="F2" s="64" t="s">
        <v>21</v>
      </c>
      <c r="G2" s="820"/>
      <c r="J2" s="397" t="s">
        <v>21</v>
      </c>
      <c r="K2" s="397" t="s">
        <v>21</v>
      </c>
      <c r="L2" s="397" t="s">
        <v>21</v>
      </c>
      <c r="M2" s="820"/>
      <c r="N2" s="397" t="s">
        <v>21</v>
      </c>
      <c r="O2" s="397" t="s">
        <v>21</v>
      </c>
      <c r="P2" s="397" t="s">
        <v>21</v>
      </c>
      <c r="Q2" s="64" t="s">
        <v>21</v>
      </c>
      <c r="R2" s="64" t="s">
        <v>21</v>
      </c>
      <c r="S2" s="64" t="s">
        <v>21</v>
      </c>
      <c r="T2" s="64" t="s">
        <v>21</v>
      </c>
      <c r="U2" s="64" t="s">
        <v>21</v>
      </c>
      <c r="V2" s="64" t="s">
        <v>21</v>
      </c>
      <c r="W2" s="64" t="s">
        <v>21</v>
      </c>
      <c r="X2" s="64" t="s">
        <v>21</v>
      </c>
      <c r="Y2" s="64" t="s">
        <v>21</v>
      </c>
      <c r="Z2" s="397" t="s">
        <v>21</v>
      </c>
      <c r="AA2" s="820"/>
      <c r="AB2" s="397" t="s">
        <v>21</v>
      </c>
      <c r="AC2" s="397" t="s">
        <v>21</v>
      </c>
      <c r="AD2" s="397" t="s">
        <v>21</v>
      </c>
      <c r="AE2" s="397" t="s">
        <v>21</v>
      </c>
      <c r="AF2" s="397" t="s">
        <v>21</v>
      </c>
      <c r="AG2" s="397" t="s">
        <v>21</v>
      </c>
    </row>
    <row r="3" spans="1:33" ht="23.25">
      <c r="A3" s="397" t="s">
        <v>21</v>
      </c>
      <c r="B3" s="1011" t="s">
        <v>2752</v>
      </c>
      <c r="C3" s="1011"/>
      <c r="D3" s="398" t="s">
        <v>2753</v>
      </c>
      <c r="E3" s="1009" t="s">
        <v>1185</v>
      </c>
      <c r="F3" s="1009"/>
      <c r="G3" s="1009"/>
      <c r="J3" s="397" t="s">
        <v>21</v>
      </c>
      <c r="L3" s="1017" t="s">
        <v>2754</v>
      </c>
      <c r="M3" s="1017"/>
      <c r="N3" s="1017"/>
      <c r="O3" s="1017"/>
      <c r="P3" s="1017"/>
      <c r="Q3" s="1017"/>
      <c r="R3" s="1017"/>
      <c r="S3" s="1017"/>
      <c r="T3" s="1017"/>
      <c r="U3" s="1017"/>
      <c r="V3" s="1017"/>
      <c r="W3" s="1017"/>
      <c r="X3" s="1017"/>
      <c r="Y3" s="1017"/>
      <c r="Z3" s="1017"/>
      <c r="AA3" s="1017"/>
      <c r="AB3" s="1017"/>
      <c r="AC3" s="1017"/>
      <c r="AD3" s="1017"/>
      <c r="AE3" s="1017"/>
      <c r="AF3" s="397" t="s">
        <v>21</v>
      </c>
      <c r="AG3" s="397" t="s">
        <v>21</v>
      </c>
    </row>
    <row r="4" spans="1:33" ht="16.5">
      <c r="A4" s="397" t="s">
        <v>21</v>
      </c>
      <c r="B4" s="397" t="s">
        <v>21</v>
      </c>
      <c r="C4" s="397" t="s">
        <v>21</v>
      </c>
      <c r="D4" s="397"/>
      <c r="E4" s="820"/>
      <c r="F4" s="64" t="s">
        <v>21</v>
      </c>
      <c r="G4" s="820"/>
      <c r="J4" s="397" t="s">
        <v>21</v>
      </c>
      <c r="K4" s="397" t="s">
        <v>21</v>
      </c>
      <c r="L4" s="397" t="s">
        <v>21</v>
      </c>
      <c r="M4" s="820"/>
      <c r="N4" s="397" t="s">
        <v>21</v>
      </c>
      <c r="O4" s="397" t="s">
        <v>21</v>
      </c>
      <c r="P4" s="397" t="s">
        <v>21</v>
      </c>
      <c r="Q4" s="64" t="s">
        <v>21</v>
      </c>
      <c r="R4" s="64" t="s">
        <v>21</v>
      </c>
      <c r="S4" s="64" t="s">
        <v>21</v>
      </c>
      <c r="T4" s="64" t="s">
        <v>21</v>
      </c>
      <c r="U4" s="64" t="s">
        <v>21</v>
      </c>
      <c r="V4" s="64" t="s">
        <v>21</v>
      </c>
      <c r="W4" s="64" t="s">
        <v>21</v>
      </c>
      <c r="X4" s="64" t="s">
        <v>21</v>
      </c>
      <c r="Y4" s="64" t="s">
        <v>21</v>
      </c>
      <c r="Z4" s="397" t="s">
        <v>21</v>
      </c>
      <c r="AA4" s="820"/>
      <c r="AB4" s="397" t="s">
        <v>21</v>
      </c>
      <c r="AC4" s="397" t="s">
        <v>21</v>
      </c>
      <c r="AD4" s="399" t="s">
        <v>21</v>
      </c>
      <c r="AE4" s="399"/>
      <c r="AF4" s="399"/>
      <c r="AG4" s="399"/>
    </row>
    <row r="5" spans="1:33">
      <c r="A5" s="397" t="s">
        <v>21</v>
      </c>
      <c r="B5" s="404"/>
      <c r="C5" s="404"/>
      <c r="D5" s="404"/>
      <c r="E5" s="404"/>
      <c r="F5" s="404"/>
      <c r="G5" s="404"/>
      <c r="J5" s="397" t="s">
        <v>21</v>
      </c>
      <c r="K5" s="397" t="s">
        <v>21</v>
      </c>
      <c r="L5" s="397" t="s">
        <v>21</v>
      </c>
      <c r="M5" s="820"/>
      <c r="N5" s="397" t="s">
        <v>21</v>
      </c>
      <c r="O5" s="397" t="s">
        <v>21</v>
      </c>
      <c r="P5" s="397" t="s">
        <v>21</v>
      </c>
      <c r="Q5" s="64" t="s">
        <v>21</v>
      </c>
      <c r="R5" s="64" t="s">
        <v>21</v>
      </c>
      <c r="S5" s="64" t="s">
        <v>21</v>
      </c>
      <c r="T5" s="64" t="s">
        <v>21</v>
      </c>
      <c r="U5" s="64" t="s">
        <v>21</v>
      </c>
      <c r="V5" s="64" t="s">
        <v>21</v>
      </c>
      <c r="W5" s="64" t="s">
        <v>21</v>
      </c>
      <c r="X5" s="64" t="s">
        <v>21</v>
      </c>
      <c r="Y5" s="64" t="s">
        <v>21</v>
      </c>
      <c r="Z5" s="397" t="s">
        <v>21</v>
      </c>
      <c r="AA5" s="820"/>
      <c r="AB5" s="397" t="s">
        <v>21</v>
      </c>
      <c r="AC5" s="397" t="s">
        <v>21</v>
      </c>
      <c r="AD5" s="399"/>
      <c r="AE5" s="399"/>
      <c r="AF5" s="399"/>
      <c r="AG5" s="399"/>
    </row>
    <row r="6" spans="1:33">
      <c r="A6" s="397" t="s">
        <v>21</v>
      </c>
      <c r="B6" s="397" t="s">
        <v>21</v>
      </c>
      <c r="C6" s="397"/>
      <c r="D6" s="397"/>
      <c r="E6" s="820"/>
      <c r="F6" s="64" t="s">
        <v>21</v>
      </c>
      <c r="G6" s="820"/>
      <c r="J6" s="397" t="s">
        <v>21</v>
      </c>
      <c r="K6" s="397" t="s">
        <v>21</v>
      </c>
      <c r="L6" s="397" t="s">
        <v>21</v>
      </c>
      <c r="M6" s="820"/>
      <c r="N6" s="397" t="s">
        <v>21</v>
      </c>
      <c r="O6" s="397" t="s">
        <v>21</v>
      </c>
      <c r="P6" s="397" t="s">
        <v>21</v>
      </c>
      <c r="Q6" s="64" t="s">
        <v>21</v>
      </c>
      <c r="R6" s="64" t="s">
        <v>21</v>
      </c>
      <c r="S6" s="64" t="s">
        <v>21</v>
      </c>
      <c r="T6" s="64" t="s">
        <v>21</v>
      </c>
      <c r="U6" s="64" t="s">
        <v>21</v>
      </c>
      <c r="V6" s="64" t="s">
        <v>21</v>
      </c>
      <c r="W6" s="64" t="s">
        <v>21</v>
      </c>
      <c r="X6" s="64" t="s">
        <v>21</v>
      </c>
      <c r="Y6" s="64" t="s">
        <v>21</v>
      </c>
      <c r="Z6" s="397" t="s">
        <v>21</v>
      </c>
      <c r="AA6" s="820"/>
      <c r="AB6" s="397" t="s">
        <v>21</v>
      </c>
      <c r="AC6" s="397" t="s">
        <v>21</v>
      </c>
      <c r="AD6" s="399"/>
      <c r="AE6" s="399"/>
      <c r="AF6" s="399"/>
      <c r="AG6" s="399"/>
    </row>
    <row r="7" spans="1:33">
      <c r="A7" s="397" t="s">
        <v>21</v>
      </c>
      <c r="B7" s="427" t="s">
        <v>2156</v>
      </c>
      <c r="C7" s="427" t="s">
        <v>2755</v>
      </c>
      <c r="D7" s="427" t="s">
        <v>2756</v>
      </c>
      <c r="E7" s="427" t="s">
        <v>2757</v>
      </c>
      <c r="F7" s="427" t="s">
        <v>2758</v>
      </c>
      <c r="G7" s="428" t="s">
        <v>2759</v>
      </c>
      <c r="J7" s="397" t="s">
        <v>21</v>
      </c>
      <c r="K7" s="397" t="s">
        <v>21</v>
      </c>
      <c r="L7" s="397" t="s">
        <v>21</v>
      </c>
      <c r="M7" s="820"/>
      <c r="N7" s="397" t="s">
        <v>21</v>
      </c>
      <c r="O7" s="397" t="s">
        <v>21</v>
      </c>
      <c r="P7" s="397" t="s">
        <v>21</v>
      </c>
      <c r="Q7" s="64" t="s">
        <v>21</v>
      </c>
      <c r="R7" s="64" t="s">
        <v>21</v>
      </c>
      <c r="S7" s="64" t="s">
        <v>21</v>
      </c>
      <c r="T7" s="64" t="s">
        <v>21</v>
      </c>
      <c r="U7" s="64" t="s">
        <v>21</v>
      </c>
      <c r="V7" s="64" t="s">
        <v>21</v>
      </c>
      <c r="W7" s="64" t="s">
        <v>21</v>
      </c>
      <c r="X7" s="64" t="s">
        <v>21</v>
      </c>
      <c r="Y7" s="64" t="s">
        <v>21</v>
      </c>
      <c r="Z7" s="397" t="s">
        <v>21</v>
      </c>
      <c r="AA7" s="820"/>
      <c r="AB7" s="397" t="s">
        <v>21</v>
      </c>
      <c r="AC7" s="397" t="s">
        <v>21</v>
      </c>
      <c r="AD7" s="399"/>
      <c r="AE7" s="399"/>
      <c r="AF7" s="399"/>
      <c r="AG7" s="399"/>
    </row>
    <row r="8" spans="1:33">
      <c r="A8" s="397" t="s">
        <v>21</v>
      </c>
      <c r="B8" s="397" t="s">
        <v>2760</v>
      </c>
      <c r="C8" s="530">
        <v>10.32</v>
      </c>
      <c r="D8" s="397">
        <f t="shared" ref="D8:D24" si="0">C8+E8</f>
        <v>12.32</v>
      </c>
      <c r="E8" s="820">
        <v>2</v>
      </c>
      <c r="F8" s="64">
        <f t="shared" ref="F8:F26" si="1">E8+C8</f>
        <v>12.32</v>
      </c>
      <c r="G8" s="437">
        <f t="shared" ref="G8:G26" si="2">E8/F8*100</f>
        <v>16.233766233766232</v>
      </c>
      <c r="J8" s="397" t="s">
        <v>21</v>
      </c>
      <c r="K8" s="397" t="s">
        <v>21</v>
      </c>
      <c r="L8" s="397" t="s">
        <v>21</v>
      </c>
      <c r="M8" s="820"/>
      <c r="N8" s="397" t="s">
        <v>21</v>
      </c>
      <c r="O8" s="397" t="s">
        <v>21</v>
      </c>
      <c r="P8" s="397" t="s">
        <v>21</v>
      </c>
      <c r="Q8" s="64" t="s">
        <v>21</v>
      </c>
      <c r="R8" s="64" t="s">
        <v>21</v>
      </c>
      <c r="S8" s="64" t="s">
        <v>21</v>
      </c>
      <c r="T8" s="64" t="s">
        <v>21</v>
      </c>
      <c r="U8" s="64" t="s">
        <v>21</v>
      </c>
      <c r="V8" s="64" t="s">
        <v>21</v>
      </c>
      <c r="W8" s="64" t="s">
        <v>21</v>
      </c>
      <c r="X8" s="64" t="s">
        <v>21</v>
      </c>
      <c r="Y8" s="64" t="s">
        <v>21</v>
      </c>
      <c r="Z8" s="397" t="s">
        <v>21</v>
      </c>
      <c r="AA8" s="820"/>
      <c r="AB8" s="397" t="s">
        <v>21</v>
      </c>
      <c r="AC8" s="397" t="s">
        <v>21</v>
      </c>
      <c r="AD8" s="397" t="s">
        <v>21</v>
      </c>
      <c r="AE8" s="397" t="s">
        <v>21</v>
      </c>
      <c r="AF8" s="397" t="s">
        <v>21</v>
      </c>
      <c r="AG8" s="397" t="s">
        <v>21</v>
      </c>
    </row>
    <row r="9" spans="1:33">
      <c r="A9" s="397" t="s">
        <v>21</v>
      </c>
      <c r="B9" s="397" t="s">
        <v>350</v>
      </c>
      <c r="C9" s="530">
        <v>0.33700000000000002</v>
      </c>
      <c r="D9" s="397">
        <f t="shared" si="0"/>
        <v>1.4370000000000001</v>
      </c>
      <c r="E9" s="820">
        <v>1.1000000000000001</v>
      </c>
      <c r="F9" s="64">
        <f t="shared" si="1"/>
        <v>1.4370000000000001</v>
      </c>
      <c r="G9" s="437">
        <f t="shared" si="2"/>
        <v>76.548364648573425</v>
      </c>
      <c r="J9" s="397" t="s">
        <v>21</v>
      </c>
      <c r="K9" s="397" t="s">
        <v>21</v>
      </c>
      <c r="L9" s="397" t="s">
        <v>21</v>
      </c>
      <c r="M9" s="820"/>
      <c r="N9" s="397" t="s">
        <v>21</v>
      </c>
      <c r="O9" s="397" t="s">
        <v>21</v>
      </c>
      <c r="P9" s="397" t="s">
        <v>21</v>
      </c>
      <c r="Q9" s="64" t="s">
        <v>21</v>
      </c>
      <c r="R9" s="64" t="s">
        <v>21</v>
      </c>
      <c r="S9" s="64" t="s">
        <v>21</v>
      </c>
      <c r="T9" s="64" t="s">
        <v>21</v>
      </c>
      <c r="U9" s="64" t="s">
        <v>21</v>
      </c>
      <c r="V9" s="64" t="s">
        <v>21</v>
      </c>
      <c r="W9" s="64" t="s">
        <v>21</v>
      </c>
      <c r="X9" s="64" t="s">
        <v>21</v>
      </c>
      <c r="Y9" s="64" t="s">
        <v>21</v>
      </c>
      <c r="Z9" s="397" t="s">
        <v>21</v>
      </c>
      <c r="AA9" s="820"/>
      <c r="AB9" s="397" t="s">
        <v>21</v>
      </c>
      <c r="AC9" s="397" t="s">
        <v>21</v>
      </c>
      <c r="AD9" s="397" t="s">
        <v>21</v>
      </c>
      <c r="AE9" s="397" t="s">
        <v>21</v>
      </c>
      <c r="AF9" s="397" t="s">
        <v>21</v>
      </c>
      <c r="AG9" s="397" t="s">
        <v>21</v>
      </c>
    </row>
    <row r="10" spans="1:33">
      <c r="A10" s="397" t="s">
        <v>21</v>
      </c>
      <c r="B10" s="397" t="s">
        <v>1837</v>
      </c>
      <c r="C10" s="530">
        <v>7.5449999999999999</v>
      </c>
      <c r="D10" s="397">
        <f t="shared" si="0"/>
        <v>8.4770000000000003</v>
      </c>
      <c r="E10" s="820">
        <v>0.93200000000000005</v>
      </c>
      <c r="F10" s="64">
        <f t="shared" si="1"/>
        <v>8.4770000000000003</v>
      </c>
      <c r="G10" s="437">
        <f t="shared" si="2"/>
        <v>10.994455585702489</v>
      </c>
      <c r="J10" s="397" t="s">
        <v>21</v>
      </c>
      <c r="K10" s="397" t="s">
        <v>21</v>
      </c>
      <c r="L10" s="397" t="s">
        <v>21</v>
      </c>
      <c r="M10" s="820"/>
      <c r="N10" s="397" t="s">
        <v>21</v>
      </c>
      <c r="O10" s="397" t="s">
        <v>21</v>
      </c>
      <c r="P10" s="397" t="s">
        <v>21</v>
      </c>
      <c r="Q10" s="64" t="s">
        <v>21</v>
      </c>
      <c r="R10" s="64" t="s">
        <v>21</v>
      </c>
      <c r="S10" s="64" t="s">
        <v>21</v>
      </c>
      <c r="T10" s="64" t="s">
        <v>21</v>
      </c>
      <c r="U10" s="64" t="s">
        <v>21</v>
      </c>
      <c r="V10" s="64" t="s">
        <v>21</v>
      </c>
      <c r="W10" s="64" t="s">
        <v>21</v>
      </c>
      <c r="X10" s="64" t="s">
        <v>21</v>
      </c>
      <c r="Y10" s="64" t="s">
        <v>21</v>
      </c>
      <c r="Z10" s="397" t="s">
        <v>21</v>
      </c>
      <c r="AA10" s="820"/>
      <c r="AB10" s="397" t="s">
        <v>21</v>
      </c>
      <c r="AC10" s="397" t="s">
        <v>21</v>
      </c>
      <c r="AD10" s="397" t="s">
        <v>21</v>
      </c>
      <c r="AE10" s="397" t="s">
        <v>21</v>
      </c>
      <c r="AF10" s="397" t="s">
        <v>21</v>
      </c>
      <c r="AG10" s="397" t="s">
        <v>21</v>
      </c>
    </row>
    <row r="11" spans="1:33">
      <c r="A11" s="397" t="s">
        <v>21</v>
      </c>
      <c r="B11" s="397" t="s">
        <v>1080</v>
      </c>
      <c r="C11" s="530">
        <v>1.9E-2</v>
      </c>
      <c r="D11" s="397">
        <f t="shared" si="0"/>
        <v>0.56600000000000006</v>
      </c>
      <c r="E11" s="820">
        <v>0.54700000000000004</v>
      </c>
      <c r="F11" s="64">
        <f t="shared" si="1"/>
        <v>0.56600000000000006</v>
      </c>
      <c r="G11" s="437">
        <f t="shared" si="2"/>
        <v>96.643109540636047</v>
      </c>
      <c r="J11" s="397" t="s">
        <v>21</v>
      </c>
      <c r="K11" s="397" t="s">
        <v>21</v>
      </c>
      <c r="L11" s="397" t="s">
        <v>21</v>
      </c>
      <c r="M11" s="820"/>
      <c r="N11" s="397" t="s">
        <v>21</v>
      </c>
      <c r="O11" s="397" t="s">
        <v>21</v>
      </c>
      <c r="P11" s="397" t="s">
        <v>21</v>
      </c>
      <c r="Q11" s="64" t="s">
        <v>21</v>
      </c>
      <c r="R11" s="64" t="s">
        <v>21</v>
      </c>
      <c r="S11" s="64" t="s">
        <v>21</v>
      </c>
      <c r="T11" s="64" t="s">
        <v>21</v>
      </c>
      <c r="U11" s="64" t="s">
        <v>21</v>
      </c>
      <c r="V11" s="64" t="s">
        <v>21</v>
      </c>
      <c r="W11" s="64" t="s">
        <v>21</v>
      </c>
      <c r="X11" s="64" t="s">
        <v>21</v>
      </c>
      <c r="Y11" s="64" t="s">
        <v>21</v>
      </c>
      <c r="Z11" s="397" t="s">
        <v>21</v>
      </c>
      <c r="AA11" s="820"/>
      <c r="AB11" s="397" t="s">
        <v>21</v>
      </c>
      <c r="AC11" s="397" t="s">
        <v>21</v>
      </c>
      <c r="AD11" s="397" t="s">
        <v>21</v>
      </c>
      <c r="AE11" s="397" t="s">
        <v>21</v>
      </c>
      <c r="AF11" s="397" t="s">
        <v>21</v>
      </c>
      <c r="AG11" s="397" t="s">
        <v>21</v>
      </c>
    </row>
    <row r="12" spans="1:33">
      <c r="A12" s="397" t="s">
        <v>21</v>
      </c>
      <c r="B12" s="397" t="s">
        <v>763</v>
      </c>
      <c r="C12" s="530">
        <v>0.28999999999999998</v>
      </c>
      <c r="D12" s="397">
        <f t="shared" si="0"/>
        <v>0.6</v>
      </c>
      <c r="E12" s="820">
        <v>0.31</v>
      </c>
      <c r="F12" s="64">
        <f t="shared" si="1"/>
        <v>0.6</v>
      </c>
      <c r="G12" s="437">
        <f t="shared" si="2"/>
        <v>51.666666666666671</v>
      </c>
      <c r="J12" s="397" t="s">
        <v>21</v>
      </c>
      <c r="K12" s="397" t="s">
        <v>21</v>
      </c>
      <c r="L12" s="397" t="s">
        <v>21</v>
      </c>
      <c r="M12" s="820"/>
      <c r="N12" s="397" t="s">
        <v>21</v>
      </c>
      <c r="O12" s="397" t="s">
        <v>21</v>
      </c>
      <c r="P12" s="397" t="s">
        <v>21</v>
      </c>
      <c r="Q12" s="64" t="s">
        <v>21</v>
      </c>
      <c r="R12" s="64" t="s">
        <v>21</v>
      </c>
      <c r="S12" s="64" t="s">
        <v>21</v>
      </c>
      <c r="T12" s="64" t="s">
        <v>21</v>
      </c>
      <c r="U12" s="64" t="s">
        <v>21</v>
      </c>
      <c r="V12" s="64" t="s">
        <v>21</v>
      </c>
      <c r="W12" s="64" t="s">
        <v>21</v>
      </c>
      <c r="X12" s="64" t="s">
        <v>21</v>
      </c>
      <c r="Y12" s="64" t="s">
        <v>21</v>
      </c>
      <c r="Z12" s="397" t="s">
        <v>21</v>
      </c>
      <c r="AA12" s="820"/>
      <c r="AB12" s="397" t="s">
        <v>21</v>
      </c>
      <c r="AC12" s="397" t="s">
        <v>21</v>
      </c>
      <c r="AD12" s="397" t="s">
        <v>21</v>
      </c>
      <c r="AE12" s="397" t="s">
        <v>21</v>
      </c>
      <c r="AF12" s="397" t="s">
        <v>21</v>
      </c>
      <c r="AG12" s="397" t="s">
        <v>21</v>
      </c>
    </row>
    <row r="13" spans="1:33">
      <c r="A13" s="397" t="s">
        <v>21</v>
      </c>
      <c r="B13" s="397" t="s">
        <v>840</v>
      </c>
      <c r="C13" s="530">
        <v>0.995</v>
      </c>
      <c r="D13" s="397">
        <f t="shared" si="0"/>
        <v>1.3</v>
      </c>
      <c r="E13" s="820">
        <v>0.30499999999999999</v>
      </c>
      <c r="F13" s="64">
        <f t="shared" si="1"/>
        <v>1.3</v>
      </c>
      <c r="G13" s="437">
        <f t="shared" si="2"/>
        <v>23.46153846153846</v>
      </c>
      <c r="J13" s="397" t="s">
        <v>21</v>
      </c>
      <c r="K13" s="397" t="s">
        <v>21</v>
      </c>
      <c r="L13" s="397" t="s">
        <v>21</v>
      </c>
      <c r="M13" s="820"/>
      <c r="N13" s="397" t="s">
        <v>21</v>
      </c>
      <c r="O13" s="397" t="s">
        <v>21</v>
      </c>
      <c r="P13" s="397" t="s">
        <v>21</v>
      </c>
      <c r="Q13" s="64" t="s">
        <v>21</v>
      </c>
      <c r="R13" s="64" t="s">
        <v>21</v>
      </c>
      <c r="S13" s="64" t="s">
        <v>21</v>
      </c>
      <c r="T13" s="64" t="s">
        <v>21</v>
      </c>
      <c r="U13" s="64" t="s">
        <v>21</v>
      </c>
      <c r="V13" s="64" t="s">
        <v>21</v>
      </c>
      <c r="W13" s="64" t="s">
        <v>21</v>
      </c>
      <c r="X13" s="64" t="s">
        <v>21</v>
      </c>
      <c r="Y13" s="64" t="s">
        <v>21</v>
      </c>
      <c r="Z13" s="397" t="s">
        <v>21</v>
      </c>
      <c r="AA13" s="820"/>
      <c r="AB13" s="397" t="s">
        <v>21</v>
      </c>
      <c r="AC13" s="397" t="s">
        <v>21</v>
      </c>
      <c r="AD13" s="397" t="s">
        <v>21</v>
      </c>
      <c r="AE13" s="397" t="s">
        <v>21</v>
      </c>
      <c r="AF13" s="397" t="s">
        <v>21</v>
      </c>
      <c r="AG13" s="397" t="s">
        <v>21</v>
      </c>
    </row>
    <row r="14" spans="1:33">
      <c r="A14" s="397" t="s">
        <v>21</v>
      </c>
      <c r="B14" s="397" t="s">
        <v>1741</v>
      </c>
      <c r="C14" s="530">
        <v>0.89300000000000002</v>
      </c>
      <c r="D14" s="397">
        <f t="shared" si="0"/>
        <v>1.0129999999999999</v>
      </c>
      <c r="E14" s="820">
        <v>0.12</v>
      </c>
      <c r="F14" s="64">
        <f t="shared" si="1"/>
        <v>1.0129999999999999</v>
      </c>
      <c r="G14" s="437">
        <f t="shared" si="2"/>
        <v>11.846001974333662</v>
      </c>
      <c r="J14" s="397" t="s">
        <v>21</v>
      </c>
      <c r="K14" s="397" t="s">
        <v>21</v>
      </c>
      <c r="L14" s="397" t="s">
        <v>21</v>
      </c>
      <c r="M14" s="820"/>
      <c r="N14" s="397" t="s">
        <v>21</v>
      </c>
      <c r="O14" s="397" t="s">
        <v>21</v>
      </c>
      <c r="P14" s="397" t="s">
        <v>21</v>
      </c>
      <c r="Q14" s="64" t="s">
        <v>21</v>
      </c>
      <c r="R14" s="64" t="s">
        <v>21</v>
      </c>
      <c r="S14" s="64" t="s">
        <v>21</v>
      </c>
      <c r="T14" s="64" t="s">
        <v>21</v>
      </c>
      <c r="U14" s="64" t="s">
        <v>21</v>
      </c>
      <c r="V14" s="64" t="s">
        <v>21</v>
      </c>
      <c r="W14" s="64" t="s">
        <v>21</v>
      </c>
      <c r="X14" s="64" t="s">
        <v>21</v>
      </c>
      <c r="Y14" s="64" t="s">
        <v>21</v>
      </c>
      <c r="Z14" s="397" t="s">
        <v>21</v>
      </c>
      <c r="AA14" s="820"/>
      <c r="AB14" s="397" t="s">
        <v>21</v>
      </c>
      <c r="AC14" s="397" t="s">
        <v>21</v>
      </c>
      <c r="AD14" s="397" t="s">
        <v>21</v>
      </c>
      <c r="AE14" s="397" t="s">
        <v>21</v>
      </c>
      <c r="AF14" s="397" t="s">
        <v>21</v>
      </c>
      <c r="AG14" s="397" t="s">
        <v>21</v>
      </c>
    </row>
    <row r="15" spans="1:33">
      <c r="A15" s="397" t="s">
        <v>21</v>
      </c>
      <c r="B15" s="397" t="s">
        <v>1036</v>
      </c>
      <c r="C15" s="530">
        <v>0.192</v>
      </c>
      <c r="D15" s="397">
        <f t="shared" si="0"/>
        <v>0.31</v>
      </c>
      <c r="E15" s="820">
        <v>0.11799999999999999</v>
      </c>
      <c r="F15" s="64">
        <f t="shared" si="1"/>
        <v>0.31</v>
      </c>
      <c r="G15" s="437">
        <f t="shared" si="2"/>
        <v>38.064516129032256</v>
      </c>
      <c r="J15" s="397" t="s">
        <v>21</v>
      </c>
      <c r="K15" s="397" t="s">
        <v>21</v>
      </c>
      <c r="L15" s="397" t="s">
        <v>21</v>
      </c>
      <c r="M15" s="820"/>
      <c r="N15" s="397" t="s">
        <v>21</v>
      </c>
      <c r="O15" s="397" t="s">
        <v>21</v>
      </c>
      <c r="P15" s="397" t="s">
        <v>21</v>
      </c>
      <c r="Q15" s="64" t="s">
        <v>21</v>
      </c>
      <c r="R15" s="64" t="s">
        <v>21</v>
      </c>
      <c r="S15" s="64" t="s">
        <v>21</v>
      </c>
      <c r="T15" s="64" t="s">
        <v>21</v>
      </c>
      <c r="U15" s="64" t="s">
        <v>21</v>
      </c>
      <c r="V15" s="64" t="s">
        <v>21</v>
      </c>
      <c r="W15" s="64" t="s">
        <v>21</v>
      </c>
      <c r="X15" s="64" t="s">
        <v>21</v>
      </c>
      <c r="Y15" s="64" t="s">
        <v>21</v>
      </c>
      <c r="Z15" s="397" t="s">
        <v>21</v>
      </c>
      <c r="AA15" s="820"/>
      <c r="AB15" s="397" t="s">
        <v>21</v>
      </c>
      <c r="AC15" s="397" t="s">
        <v>21</v>
      </c>
      <c r="AD15" s="397" t="s">
        <v>21</v>
      </c>
      <c r="AE15" s="397" t="s">
        <v>21</v>
      </c>
      <c r="AF15" s="397" t="s">
        <v>21</v>
      </c>
      <c r="AG15" s="397" t="s">
        <v>21</v>
      </c>
    </row>
    <row r="16" spans="1:33">
      <c r="A16" s="397" t="s">
        <v>21</v>
      </c>
      <c r="B16" s="397" t="s">
        <v>1215</v>
      </c>
      <c r="C16" s="530">
        <v>0</v>
      </c>
      <c r="D16" s="397">
        <f t="shared" si="0"/>
        <v>0.08</v>
      </c>
      <c r="E16" s="820">
        <v>0.08</v>
      </c>
      <c r="F16" s="64">
        <f t="shared" si="1"/>
        <v>0.08</v>
      </c>
      <c r="G16" s="437">
        <f t="shared" si="2"/>
        <v>100</v>
      </c>
      <c r="J16" s="397" t="s">
        <v>21</v>
      </c>
      <c r="K16" s="397" t="s">
        <v>21</v>
      </c>
      <c r="L16" s="397" t="s">
        <v>21</v>
      </c>
      <c r="M16" s="820"/>
      <c r="N16" s="397" t="s">
        <v>21</v>
      </c>
      <c r="O16" s="397" t="s">
        <v>21</v>
      </c>
      <c r="P16" s="397" t="s">
        <v>21</v>
      </c>
      <c r="Q16" s="64" t="s">
        <v>21</v>
      </c>
      <c r="R16" s="64" t="s">
        <v>21</v>
      </c>
      <c r="S16" s="64" t="s">
        <v>21</v>
      </c>
      <c r="T16" s="64" t="s">
        <v>21</v>
      </c>
      <c r="U16" s="64" t="s">
        <v>21</v>
      </c>
      <c r="V16" s="64" t="s">
        <v>21</v>
      </c>
      <c r="W16" s="64" t="s">
        <v>21</v>
      </c>
      <c r="X16" s="64" t="s">
        <v>21</v>
      </c>
      <c r="Y16" s="64" t="s">
        <v>21</v>
      </c>
      <c r="Z16" s="397" t="s">
        <v>21</v>
      </c>
      <c r="AA16" s="820"/>
      <c r="AB16" s="397" t="s">
        <v>21</v>
      </c>
      <c r="AC16" s="397" t="s">
        <v>21</v>
      </c>
      <c r="AD16" s="397" t="s">
        <v>21</v>
      </c>
      <c r="AE16" s="397" t="s">
        <v>21</v>
      </c>
      <c r="AF16" s="397" t="s">
        <v>21</v>
      </c>
      <c r="AG16" s="397" t="s">
        <v>21</v>
      </c>
    </row>
    <row r="17" spans="1:33">
      <c r="A17" s="397" t="s">
        <v>21</v>
      </c>
      <c r="B17" s="397" t="s">
        <v>1645</v>
      </c>
      <c r="C17" s="530">
        <v>1E-3</v>
      </c>
      <c r="D17" s="397">
        <f t="shared" si="0"/>
        <v>4.7E-2</v>
      </c>
      <c r="E17" s="820">
        <v>4.5999999999999999E-2</v>
      </c>
      <c r="F17" s="64">
        <f t="shared" si="1"/>
        <v>4.7E-2</v>
      </c>
      <c r="G17" s="437">
        <f t="shared" si="2"/>
        <v>97.872340425531917</v>
      </c>
      <c r="J17" s="397" t="s">
        <v>21</v>
      </c>
      <c r="K17" s="397" t="s">
        <v>21</v>
      </c>
      <c r="L17" s="397" t="s">
        <v>21</v>
      </c>
      <c r="M17" s="820"/>
      <c r="N17" s="397" t="s">
        <v>21</v>
      </c>
      <c r="O17" s="397" t="s">
        <v>21</v>
      </c>
      <c r="P17" s="397" t="s">
        <v>21</v>
      </c>
      <c r="Q17" s="64" t="s">
        <v>21</v>
      </c>
      <c r="R17" s="64" t="s">
        <v>21</v>
      </c>
      <c r="S17" s="64" t="s">
        <v>21</v>
      </c>
      <c r="T17" s="64" t="s">
        <v>21</v>
      </c>
      <c r="U17" s="64" t="s">
        <v>21</v>
      </c>
      <c r="V17" s="64" t="s">
        <v>21</v>
      </c>
      <c r="W17" s="64" t="s">
        <v>21</v>
      </c>
      <c r="X17" s="64" t="s">
        <v>21</v>
      </c>
      <c r="Y17" s="64" t="s">
        <v>21</v>
      </c>
      <c r="Z17" s="397" t="s">
        <v>21</v>
      </c>
      <c r="AA17" s="820"/>
      <c r="AB17" s="397" t="s">
        <v>21</v>
      </c>
      <c r="AC17" s="397" t="s">
        <v>21</v>
      </c>
      <c r="AD17" s="397" t="s">
        <v>21</v>
      </c>
      <c r="AE17" s="397" t="s">
        <v>21</v>
      </c>
      <c r="AF17" s="397" t="s">
        <v>21</v>
      </c>
      <c r="AG17" s="397" t="s">
        <v>21</v>
      </c>
    </row>
    <row r="18" spans="1:33">
      <c r="A18" s="397" t="s">
        <v>21</v>
      </c>
      <c r="B18" s="397" t="s">
        <v>618</v>
      </c>
      <c r="C18" s="530">
        <v>0</v>
      </c>
      <c r="D18" s="397">
        <f t="shared" si="0"/>
        <v>2.1999999999999999E-2</v>
      </c>
      <c r="E18" s="820">
        <v>2.1999999999999999E-2</v>
      </c>
      <c r="F18" s="64">
        <f t="shared" si="1"/>
        <v>2.1999999999999999E-2</v>
      </c>
      <c r="G18" s="437">
        <f t="shared" si="2"/>
        <v>100</v>
      </c>
      <c r="J18" s="397" t="s">
        <v>21</v>
      </c>
      <c r="K18" s="397" t="s">
        <v>21</v>
      </c>
      <c r="L18" s="397" t="s">
        <v>21</v>
      </c>
      <c r="M18" s="820"/>
      <c r="N18" s="397" t="s">
        <v>21</v>
      </c>
      <c r="O18" s="397" t="s">
        <v>21</v>
      </c>
      <c r="P18" s="397" t="s">
        <v>21</v>
      </c>
      <c r="Q18" s="64" t="s">
        <v>21</v>
      </c>
      <c r="R18" s="64" t="s">
        <v>21</v>
      </c>
      <c r="S18" s="64" t="s">
        <v>21</v>
      </c>
      <c r="T18" s="64" t="s">
        <v>21</v>
      </c>
      <c r="U18" s="64" t="s">
        <v>21</v>
      </c>
      <c r="V18" s="64" t="s">
        <v>21</v>
      </c>
      <c r="W18" s="64" t="s">
        <v>21</v>
      </c>
      <c r="X18" s="64" t="s">
        <v>21</v>
      </c>
      <c r="Y18" s="64" t="s">
        <v>21</v>
      </c>
      <c r="Z18" s="397" t="s">
        <v>21</v>
      </c>
      <c r="AA18" s="820"/>
      <c r="AB18" s="397" t="s">
        <v>21</v>
      </c>
      <c r="AC18" s="397" t="s">
        <v>21</v>
      </c>
      <c r="AD18" s="397" t="s">
        <v>21</v>
      </c>
      <c r="AE18" s="397" t="s">
        <v>21</v>
      </c>
      <c r="AF18" s="397" t="s">
        <v>21</v>
      </c>
      <c r="AG18" s="397" t="s">
        <v>21</v>
      </c>
    </row>
    <row r="19" spans="1:33">
      <c r="A19" s="397" t="s">
        <v>21</v>
      </c>
      <c r="B19" s="64" t="s">
        <v>1306</v>
      </c>
      <c r="C19" s="530">
        <v>8.9999999999999993E-3</v>
      </c>
      <c r="D19" s="397">
        <f t="shared" si="0"/>
        <v>2.8999999999999998E-2</v>
      </c>
      <c r="E19" s="820">
        <v>0.02</v>
      </c>
      <c r="F19" s="64">
        <f t="shared" si="1"/>
        <v>2.8999999999999998E-2</v>
      </c>
      <c r="G19" s="437">
        <f t="shared" si="2"/>
        <v>68.965517241379317</v>
      </c>
      <c r="J19" s="397" t="s">
        <v>21</v>
      </c>
      <c r="K19" s="397" t="s">
        <v>21</v>
      </c>
      <c r="L19" s="397" t="s">
        <v>21</v>
      </c>
      <c r="M19" s="820"/>
      <c r="N19" s="397" t="s">
        <v>21</v>
      </c>
      <c r="O19" s="397" t="s">
        <v>21</v>
      </c>
      <c r="P19" s="397" t="s">
        <v>21</v>
      </c>
      <c r="Q19" s="64" t="s">
        <v>21</v>
      </c>
      <c r="R19" s="64" t="s">
        <v>21</v>
      </c>
      <c r="S19" s="64" t="s">
        <v>21</v>
      </c>
      <c r="T19" s="64" t="s">
        <v>21</v>
      </c>
      <c r="U19" s="64" t="s">
        <v>21</v>
      </c>
      <c r="V19" s="64" t="s">
        <v>21</v>
      </c>
      <c r="W19" s="64" t="s">
        <v>21</v>
      </c>
      <c r="X19" s="64" t="s">
        <v>21</v>
      </c>
      <c r="Y19" s="64" t="s">
        <v>21</v>
      </c>
      <c r="Z19" s="397" t="s">
        <v>21</v>
      </c>
      <c r="AA19" s="820"/>
      <c r="AB19" s="397" t="s">
        <v>21</v>
      </c>
      <c r="AC19" s="397" t="s">
        <v>21</v>
      </c>
      <c r="AD19" s="397" t="s">
        <v>21</v>
      </c>
      <c r="AE19" s="397" t="s">
        <v>21</v>
      </c>
      <c r="AF19" s="397" t="s">
        <v>21</v>
      </c>
      <c r="AG19" s="397" t="s">
        <v>21</v>
      </c>
    </row>
    <row r="20" spans="1:33">
      <c r="A20" s="397" t="s">
        <v>21</v>
      </c>
      <c r="B20" s="397" t="s">
        <v>257</v>
      </c>
      <c r="C20" s="530">
        <v>0</v>
      </c>
      <c r="D20" s="397">
        <f t="shared" si="0"/>
        <v>0.01</v>
      </c>
      <c r="E20" s="820">
        <v>0.01</v>
      </c>
      <c r="F20" s="64">
        <f t="shared" si="1"/>
        <v>0.01</v>
      </c>
      <c r="G20" s="437">
        <f t="shared" si="2"/>
        <v>100</v>
      </c>
      <c r="J20" s="397" t="s">
        <v>21</v>
      </c>
      <c r="K20" s="397" t="s">
        <v>21</v>
      </c>
      <c r="L20" s="397" t="s">
        <v>21</v>
      </c>
      <c r="M20" s="820"/>
      <c r="N20" s="397" t="s">
        <v>21</v>
      </c>
      <c r="O20" s="397" t="s">
        <v>21</v>
      </c>
      <c r="P20" s="397" t="s">
        <v>21</v>
      </c>
      <c r="Q20" s="64" t="s">
        <v>21</v>
      </c>
      <c r="R20" s="64" t="s">
        <v>21</v>
      </c>
      <c r="S20" s="64" t="s">
        <v>21</v>
      </c>
      <c r="T20" s="64" t="s">
        <v>21</v>
      </c>
      <c r="U20" s="64" t="s">
        <v>21</v>
      </c>
      <c r="V20" s="64" t="s">
        <v>21</v>
      </c>
      <c r="W20" s="64" t="s">
        <v>21</v>
      </c>
      <c r="X20" s="64" t="s">
        <v>21</v>
      </c>
      <c r="Y20" s="64" t="s">
        <v>21</v>
      </c>
      <c r="Z20" s="397" t="s">
        <v>21</v>
      </c>
      <c r="AA20" s="820"/>
      <c r="AB20" s="397" t="s">
        <v>21</v>
      </c>
      <c r="AC20" s="397" t="s">
        <v>21</v>
      </c>
      <c r="AD20" s="397" t="s">
        <v>21</v>
      </c>
      <c r="AE20" s="397" t="s">
        <v>21</v>
      </c>
      <c r="AF20" s="397" t="s">
        <v>21</v>
      </c>
      <c r="AG20" s="397" t="s">
        <v>21</v>
      </c>
    </row>
    <row r="21" spans="1:33">
      <c r="A21" s="397" t="s">
        <v>21</v>
      </c>
      <c r="B21" s="397" t="s">
        <v>1119</v>
      </c>
      <c r="C21" s="530">
        <v>0.01</v>
      </c>
      <c r="D21" s="397">
        <f t="shared" si="0"/>
        <v>1.4999999999999999E-2</v>
      </c>
      <c r="E21" s="820">
        <v>5.0000000000000001E-3</v>
      </c>
      <c r="F21" s="64">
        <f t="shared" si="1"/>
        <v>1.4999999999999999E-2</v>
      </c>
      <c r="G21" s="437">
        <f t="shared" si="2"/>
        <v>33.333333333333336</v>
      </c>
      <c r="J21" s="397" t="s">
        <v>21</v>
      </c>
      <c r="K21" s="397" t="s">
        <v>21</v>
      </c>
      <c r="L21" s="397" t="s">
        <v>21</v>
      </c>
      <c r="M21" s="820"/>
      <c r="N21" s="397" t="s">
        <v>21</v>
      </c>
      <c r="O21" s="397" t="s">
        <v>21</v>
      </c>
      <c r="P21" s="397" t="s">
        <v>21</v>
      </c>
      <c r="Q21" s="64" t="s">
        <v>21</v>
      </c>
      <c r="R21" s="64" t="s">
        <v>21</v>
      </c>
      <c r="S21" s="64" t="s">
        <v>21</v>
      </c>
      <c r="T21" s="64" t="s">
        <v>21</v>
      </c>
      <c r="U21" s="64" t="s">
        <v>21</v>
      </c>
      <c r="V21" s="64" t="s">
        <v>21</v>
      </c>
      <c r="W21" s="64" t="s">
        <v>21</v>
      </c>
      <c r="X21" s="64" t="s">
        <v>21</v>
      </c>
      <c r="Y21" s="64" t="s">
        <v>21</v>
      </c>
      <c r="Z21" s="397" t="s">
        <v>21</v>
      </c>
      <c r="AA21" s="820"/>
      <c r="AB21" s="397" t="s">
        <v>21</v>
      </c>
      <c r="AC21" s="397" t="s">
        <v>21</v>
      </c>
      <c r="AD21" s="397" t="s">
        <v>21</v>
      </c>
      <c r="AE21" s="397" t="s">
        <v>21</v>
      </c>
      <c r="AF21" s="397" t="s">
        <v>21</v>
      </c>
      <c r="AG21" s="397" t="s">
        <v>21</v>
      </c>
    </row>
    <row r="22" spans="1:33">
      <c r="A22" s="397" t="s">
        <v>21</v>
      </c>
      <c r="B22" s="397" t="s">
        <v>1147</v>
      </c>
      <c r="C22" s="530">
        <v>0</v>
      </c>
      <c r="D22" s="397">
        <f t="shared" si="0"/>
        <v>5.0000000000000001E-3</v>
      </c>
      <c r="E22" s="820">
        <v>5.0000000000000001E-3</v>
      </c>
      <c r="F22" s="64">
        <f t="shared" si="1"/>
        <v>5.0000000000000001E-3</v>
      </c>
      <c r="G22" s="437">
        <f t="shared" si="2"/>
        <v>100</v>
      </c>
      <c r="J22" s="397" t="s">
        <v>21</v>
      </c>
      <c r="K22" s="397" t="s">
        <v>21</v>
      </c>
      <c r="L22" s="397" t="s">
        <v>21</v>
      </c>
      <c r="M22" s="820"/>
      <c r="N22" s="397" t="s">
        <v>21</v>
      </c>
      <c r="O22" s="397" t="s">
        <v>21</v>
      </c>
      <c r="P22" s="397" t="s">
        <v>21</v>
      </c>
      <c r="Q22" s="64" t="s">
        <v>21</v>
      </c>
      <c r="R22" s="64" t="s">
        <v>21</v>
      </c>
      <c r="S22" s="397" t="s">
        <v>21</v>
      </c>
      <c r="T22" s="397" t="s">
        <v>21</v>
      </c>
      <c r="U22" s="64" t="s">
        <v>21</v>
      </c>
      <c r="V22" s="64" t="s">
        <v>21</v>
      </c>
      <c r="W22" s="64" t="s">
        <v>21</v>
      </c>
      <c r="X22" s="64" t="s">
        <v>21</v>
      </c>
      <c r="Y22" s="64" t="s">
        <v>21</v>
      </c>
      <c r="Z22" s="397" t="s">
        <v>21</v>
      </c>
      <c r="AA22" s="820"/>
      <c r="AB22" s="397" t="s">
        <v>21</v>
      </c>
      <c r="AC22" s="397" t="s">
        <v>21</v>
      </c>
      <c r="AD22" s="397" t="s">
        <v>21</v>
      </c>
      <c r="AE22" s="397" t="s">
        <v>21</v>
      </c>
      <c r="AF22" s="397" t="s">
        <v>21</v>
      </c>
      <c r="AG22" s="397" t="s">
        <v>21</v>
      </c>
    </row>
    <row r="23" spans="1:33">
      <c r="A23" s="397" t="s">
        <v>21</v>
      </c>
      <c r="B23" s="397" t="s">
        <v>1408</v>
      </c>
      <c r="C23" s="530">
        <v>0.25</v>
      </c>
      <c r="D23" s="397">
        <f t="shared" si="0"/>
        <v>0.25</v>
      </c>
      <c r="E23" s="820">
        <v>0</v>
      </c>
      <c r="F23" s="64">
        <f t="shared" si="1"/>
        <v>0.25</v>
      </c>
      <c r="G23" s="437">
        <f t="shared" si="2"/>
        <v>0</v>
      </c>
      <c r="J23" s="397" t="s">
        <v>21</v>
      </c>
      <c r="K23" s="397" t="s">
        <v>21</v>
      </c>
      <c r="L23" s="397" t="s">
        <v>21</v>
      </c>
      <c r="M23" s="820"/>
      <c r="N23" s="397" t="s">
        <v>21</v>
      </c>
      <c r="O23" s="397" t="s">
        <v>21</v>
      </c>
      <c r="P23" s="397" t="s">
        <v>21</v>
      </c>
      <c r="Q23" s="64" t="s">
        <v>21</v>
      </c>
      <c r="R23" s="397" t="s">
        <v>21</v>
      </c>
      <c r="S23" s="397" t="s">
        <v>21</v>
      </c>
      <c r="T23" s="397" t="s">
        <v>21</v>
      </c>
      <c r="U23" s="64" t="s">
        <v>21</v>
      </c>
      <c r="V23" s="64" t="s">
        <v>21</v>
      </c>
      <c r="W23" s="64" t="s">
        <v>21</v>
      </c>
      <c r="X23" s="64" t="s">
        <v>21</v>
      </c>
      <c r="Y23" s="64" t="s">
        <v>21</v>
      </c>
      <c r="Z23" s="397" t="s">
        <v>21</v>
      </c>
      <c r="AA23" s="820"/>
      <c r="AB23" s="397" t="s">
        <v>21</v>
      </c>
      <c r="AC23" s="397" t="s">
        <v>21</v>
      </c>
      <c r="AD23" s="397" t="s">
        <v>21</v>
      </c>
      <c r="AE23" s="397" t="s">
        <v>21</v>
      </c>
      <c r="AF23" s="397" t="s">
        <v>21</v>
      </c>
      <c r="AG23" s="397" t="s">
        <v>21</v>
      </c>
    </row>
    <row r="24" spans="1:33">
      <c r="A24" s="397" t="s">
        <v>21</v>
      </c>
      <c r="B24" s="400" t="s">
        <v>701</v>
      </c>
      <c r="C24" s="531">
        <v>7.4999999999999997E-2</v>
      </c>
      <c r="D24" s="436">
        <f t="shared" si="0"/>
        <v>7.4999999999999997E-2</v>
      </c>
      <c r="E24" s="401">
        <v>0</v>
      </c>
      <c r="F24" s="64">
        <f t="shared" si="1"/>
        <v>7.4999999999999997E-2</v>
      </c>
      <c r="G24" s="705">
        <f t="shared" si="2"/>
        <v>0</v>
      </c>
      <c r="J24" s="397" t="s">
        <v>21</v>
      </c>
      <c r="K24" s="397" t="s">
        <v>21</v>
      </c>
      <c r="L24" s="397" t="s">
        <v>21</v>
      </c>
      <c r="M24" s="820"/>
      <c r="N24" s="397" t="s">
        <v>21</v>
      </c>
      <c r="O24" s="397" t="s">
        <v>21</v>
      </c>
      <c r="P24" s="397" t="s">
        <v>21</v>
      </c>
      <c r="Q24" s="64" t="s">
        <v>21</v>
      </c>
      <c r="R24" s="64" t="s">
        <v>21</v>
      </c>
      <c r="S24" s="64" t="s">
        <v>21</v>
      </c>
      <c r="T24" s="64" t="s">
        <v>21</v>
      </c>
      <c r="U24" s="64" t="s">
        <v>21</v>
      </c>
      <c r="V24" s="64" t="s">
        <v>21</v>
      </c>
      <c r="W24" s="64" t="s">
        <v>21</v>
      </c>
      <c r="X24" s="64" t="s">
        <v>21</v>
      </c>
      <c r="Y24" s="64" t="s">
        <v>21</v>
      </c>
      <c r="Z24" s="397" t="s">
        <v>21</v>
      </c>
      <c r="AA24" s="820"/>
      <c r="AB24" s="397" t="s">
        <v>21</v>
      </c>
      <c r="AC24" s="397" t="s">
        <v>21</v>
      </c>
      <c r="AD24" s="397" t="s">
        <v>21</v>
      </c>
      <c r="AE24" s="397" t="s">
        <v>21</v>
      </c>
      <c r="AF24" s="397" t="s">
        <v>21</v>
      </c>
      <c r="AG24" s="397" t="s">
        <v>21</v>
      </c>
    </row>
    <row r="25" spans="1:33">
      <c r="A25" s="397" t="s">
        <v>21</v>
      </c>
      <c r="B25" s="319" t="s">
        <v>2084</v>
      </c>
      <c r="C25" s="319">
        <f>D25-E25</f>
        <v>0.72599999999999998</v>
      </c>
      <c r="D25" s="319">
        <v>2.0529999999999999</v>
      </c>
      <c r="E25" s="319">
        <v>1.327</v>
      </c>
      <c r="F25" s="704">
        <f t="shared" si="1"/>
        <v>2.0529999999999999</v>
      </c>
      <c r="G25" s="437">
        <f t="shared" si="2"/>
        <v>64.637116415002438</v>
      </c>
      <c r="J25" s="397" t="s">
        <v>21</v>
      </c>
      <c r="K25" s="397" t="s">
        <v>21</v>
      </c>
      <c r="L25" s="397" t="s">
        <v>21</v>
      </c>
      <c r="M25" s="820"/>
      <c r="N25" s="397" t="s">
        <v>21</v>
      </c>
      <c r="O25" s="397" t="s">
        <v>21</v>
      </c>
      <c r="P25" s="397" t="s">
        <v>21</v>
      </c>
      <c r="Q25" s="64" t="s">
        <v>21</v>
      </c>
      <c r="R25" s="64" t="s">
        <v>21</v>
      </c>
      <c r="S25" s="64" t="s">
        <v>21</v>
      </c>
      <c r="T25" s="64" t="s">
        <v>21</v>
      </c>
      <c r="U25" s="64" t="s">
        <v>21</v>
      </c>
      <c r="V25" s="64" t="s">
        <v>21</v>
      </c>
      <c r="W25" s="64" t="s">
        <v>21</v>
      </c>
      <c r="X25" s="64" t="s">
        <v>21</v>
      </c>
      <c r="Y25" s="64" t="s">
        <v>21</v>
      </c>
      <c r="Z25" s="397" t="s">
        <v>21</v>
      </c>
      <c r="AA25" s="820"/>
      <c r="AB25" s="397" t="s">
        <v>21</v>
      </c>
      <c r="AC25" s="397" t="s">
        <v>21</v>
      </c>
      <c r="AD25" s="397" t="s">
        <v>21</v>
      </c>
      <c r="AE25" s="397" t="s">
        <v>21</v>
      </c>
      <c r="AF25" s="397" t="s">
        <v>21</v>
      </c>
      <c r="AG25" s="397" t="s">
        <v>21</v>
      </c>
    </row>
    <row r="26" spans="1:33">
      <c r="A26" s="397" t="s">
        <v>21</v>
      </c>
      <c r="B26" s="436" t="s">
        <v>2112</v>
      </c>
      <c r="C26" s="703">
        <f>D26-E26</f>
        <v>1.6910000000000001</v>
      </c>
      <c r="D26" s="436">
        <v>2.294</v>
      </c>
      <c r="E26" s="436">
        <v>0.60299999999999998</v>
      </c>
      <c r="F26" s="646">
        <f t="shared" si="1"/>
        <v>2.294</v>
      </c>
      <c r="G26" s="705">
        <f t="shared" si="2"/>
        <v>26.285963382737577</v>
      </c>
      <c r="J26" s="397" t="s">
        <v>21</v>
      </c>
      <c r="K26" s="397" t="s">
        <v>21</v>
      </c>
      <c r="L26" s="397" t="s">
        <v>21</v>
      </c>
      <c r="M26" s="820"/>
      <c r="N26" s="397" t="s">
        <v>21</v>
      </c>
      <c r="O26" s="397" t="s">
        <v>21</v>
      </c>
      <c r="P26" s="397" t="s">
        <v>21</v>
      </c>
      <c r="Q26" s="64" t="s">
        <v>21</v>
      </c>
      <c r="R26" s="64" t="s">
        <v>21</v>
      </c>
      <c r="S26" s="64" t="s">
        <v>21</v>
      </c>
      <c r="T26" s="64" t="s">
        <v>21</v>
      </c>
      <c r="U26" s="64" t="s">
        <v>21</v>
      </c>
      <c r="V26" s="64" t="s">
        <v>21</v>
      </c>
      <c r="W26" s="64" t="s">
        <v>21</v>
      </c>
      <c r="X26" s="64" t="s">
        <v>21</v>
      </c>
      <c r="Y26" s="64" t="s">
        <v>21</v>
      </c>
      <c r="Z26" s="397" t="s">
        <v>21</v>
      </c>
      <c r="AA26" s="820"/>
      <c r="AB26" s="397" t="s">
        <v>21</v>
      </c>
      <c r="AC26" s="397" t="s">
        <v>21</v>
      </c>
      <c r="AD26" s="397" t="s">
        <v>21</v>
      </c>
      <c r="AE26" s="397" t="s">
        <v>21</v>
      </c>
      <c r="AF26" s="397" t="s">
        <v>21</v>
      </c>
      <c r="AG26" s="397" t="s">
        <v>21</v>
      </c>
    </row>
    <row r="27" spans="1:33">
      <c r="A27" s="397" t="s">
        <v>21</v>
      </c>
      <c r="B27" s="397"/>
      <c r="C27" s="397"/>
      <c r="D27" s="397"/>
      <c r="E27" s="397"/>
      <c r="F27" s="64"/>
      <c r="G27" s="820"/>
      <c r="J27" s="397" t="s">
        <v>21</v>
      </c>
      <c r="K27" s="397" t="s">
        <v>21</v>
      </c>
      <c r="L27" s="397" t="s">
        <v>21</v>
      </c>
      <c r="M27" s="820"/>
      <c r="N27" s="397" t="s">
        <v>21</v>
      </c>
      <c r="O27" s="397" t="s">
        <v>21</v>
      </c>
      <c r="P27" s="397" t="s">
        <v>21</v>
      </c>
      <c r="Q27" s="64" t="s">
        <v>21</v>
      </c>
      <c r="R27" s="64" t="s">
        <v>21</v>
      </c>
      <c r="S27" s="64" t="s">
        <v>21</v>
      </c>
      <c r="T27" s="64" t="s">
        <v>21</v>
      </c>
      <c r="U27" s="64" t="s">
        <v>21</v>
      </c>
      <c r="V27" s="64" t="s">
        <v>21</v>
      </c>
      <c r="W27" s="64" t="s">
        <v>21</v>
      </c>
      <c r="X27" s="64" t="s">
        <v>21</v>
      </c>
      <c r="Y27" s="64" t="s">
        <v>21</v>
      </c>
      <c r="Z27" s="397" t="s">
        <v>21</v>
      </c>
      <c r="AA27" s="820"/>
      <c r="AB27" s="397" t="s">
        <v>21</v>
      </c>
      <c r="AC27" s="397" t="s">
        <v>21</v>
      </c>
      <c r="AD27" s="397" t="s">
        <v>21</v>
      </c>
      <c r="AE27" s="397" t="s">
        <v>21</v>
      </c>
      <c r="AF27" s="397" t="s">
        <v>21</v>
      </c>
      <c r="AG27" s="397" t="s">
        <v>21</v>
      </c>
    </row>
    <row r="28" spans="1:33">
      <c r="A28" s="397" t="s">
        <v>21</v>
      </c>
      <c r="J28" s="397" t="s">
        <v>21</v>
      </c>
      <c r="K28" s="397" t="s">
        <v>21</v>
      </c>
      <c r="L28" s="397" t="s">
        <v>21</v>
      </c>
      <c r="M28" s="820"/>
      <c r="N28" s="397" t="s">
        <v>21</v>
      </c>
      <c r="O28" s="397" t="s">
        <v>21</v>
      </c>
      <c r="P28" s="397" t="s">
        <v>21</v>
      </c>
      <c r="Q28" s="64" t="s">
        <v>21</v>
      </c>
      <c r="R28" s="64" t="s">
        <v>21</v>
      </c>
      <c r="S28" s="64" t="s">
        <v>21</v>
      </c>
      <c r="T28" s="64" t="s">
        <v>21</v>
      </c>
      <c r="U28" s="64" t="s">
        <v>21</v>
      </c>
      <c r="V28" s="64" t="s">
        <v>21</v>
      </c>
      <c r="W28" s="64" t="s">
        <v>21</v>
      </c>
      <c r="X28" s="64" t="s">
        <v>21</v>
      </c>
      <c r="Y28" s="64" t="s">
        <v>21</v>
      </c>
      <c r="Z28" s="397" t="s">
        <v>21</v>
      </c>
      <c r="AA28" s="820"/>
      <c r="AB28" s="397" t="s">
        <v>21</v>
      </c>
      <c r="AC28" s="397" t="s">
        <v>21</v>
      </c>
      <c r="AD28" s="397" t="s">
        <v>21</v>
      </c>
      <c r="AE28" s="397" t="s">
        <v>21</v>
      </c>
      <c r="AF28" s="397" t="s">
        <v>21</v>
      </c>
      <c r="AG28" s="397" t="s">
        <v>21</v>
      </c>
    </row>
    <row r="29" spans="1:33">
      <c r="A29" s="397" t="s">
        <v>21</v>
      </c>
      <c r="G29" s="820"/>
      <c r="J29" s="397" t="s">
        <v>21</v>
      </c>
      <c r="K29" s="397" t="s">
        <v>21</v>
      </c>
      <c r="L29" s="397" t="s">
        <v>21</v>
      </c>
      <c r="M29" s="820"/>
      <c r="N29" s="397" t="s">
        <v>21</v>
      </c>
      <c r="O29" s="397" t="s">
        <v>21</v>
      </c>
      <c r="P29" s="397" t="s">
        <v>21</v>
      </c>
      <c r="Q29" s="64" t="s">
        <v>21</v>
      </c>
      <c r="R29" s="64" t="s">
        <v>21</v>
      </c>
      <c r="S29" s="64" t="s">
        <v>21</v>
      </c>
      <c r="T29" s="64" t="s">
        <v>21</v>
      </c>
      <c r="U29" s="64" t="s">
        <v>21</v>
      </c>
      <c r="V29" s="64" t="s">
        <v>21</v>
      </c>
      <c r="W29" s="64" t="s">
        <v>21</v>
      </c>
      <c r="X29" s="64" t="s">
        <v>21</v>
      </c>
      <c r="Y29" s="64" t="s">
        <v>21</v>
      </c>
      <c r="Z29" s="397" t="s">
        <v>21</v>
      </c>
      <c r="AA29" s="820"/>
      <c r="AB29" s="397" t="s">
        <v>21</v>
      </c>
      <c r="AC29" s="397" t="s">
        <v>21</v>
      </c>
      <c r="AD29" s="397" t="s">
        <v>21</v>
      </c>
      <c r="AE29" s="397" t="s">
        <v>21</v>
      </c>
      <c r="AF29" s="397" t="s">
        <v>21</v>
      </c>
      <c r="AG29" s="397" t="s">
        <v>21</v>
      </c>
    </row>
    <row r="30" spans="1:33">
      <c r="A30" s="397" t="s">
        <v>21</v>
      </c>
      <c r="B30" s="397"/>
      <c r="C30" s="64"/>
      <c r="D30" s="64"/>
      <c r="E30" s="820"/>
      <c r="F30" s="64"/>
      <c r="G30" s="820"/>
      <c r="J30" s="397" t="s">
        <v>21</v>
      </c>
      <c r="K30" s="397" t="s">
        <v>21</v>
      </c>
      <c r="L30" s="397" t="s">
        <v>21</v>
      </c>
      <c r="M30" s="820"/>
      <c r="N30" s="397" t="s">
        <v>21</v>
      </c>
      <c r="O30" s="397" t="s">
        <v>21</v>
      </c>
      <c r="P30" s="397" t="s">
        <v>21</v>
      </c>
      <c r="Q30" s="64" t="s">
        <v>21</v>
      </c>
      <c r="R30" s="64" t="s">
        <v>21</v>
      </c>
      <c r="S30" s="64" t="s">
        <v>21</v>
      </c>
      <c r="T30" s="64" t="s">
        <v>21</v>
      </c>
      <c r="U30" s="64" t="s">
        <v>21</v>
      </c>
      <c r="V30" s="64" t="s">
        <v>21</v>
      </c>
      <c r="W30" s="64" t="s">
        <v>21</v>
      </c>
      <c r="X30" s="64" t="s">
        <v>21</v>
      </c>
      <c r="Y30" s="64" t="s">
        <v>21</v>
      </c>
      <c r="Z30" s="397" t="s">
        <v>21</v>
      </c>
      <c r="AA30" s="820"/>
      <c r="AB30" s="397" t="s">
        <v>21</v>
      </c>
      <c r="AC30" s="397" t="s">
        <v>21</v>
      </c>
      <c r="AD30" s="397" t="s">
        <v>21</v>
      </c>
      <c r="AE30" s="397" t="s">
        <v>21</v>
      </c>
      <c r="AF30" s="397" t="s">
        <v>21</v>
      </c>
      <c r="AG30" s="397" t="s">
        <v>21</v>
      </c>
    </row>
    <row r="31" spans="1:33">
      <c r="A31" s="397" t="s">
        <v>21</v>
      </c>
      <c r="B31" s="397" t="s">
        <v>2717</v>
      </c>
      <c r="C31" s="397">
        <f>SUM($C$8:$C$26)</f>
        <v>23.352999999999998</v>
      </c>
      <c r="D31" s="397">
        <f>SUM($D$8:$D$26)</f>
        <v>30.902999999999999</v>
      </c>
      <c r="E31" s="397">
        <f>SUM($E$8:$E$26)</f>
        <v>7.5499999999999989</v>
      </c>
      <c r="F31" s="397">
        <f>SUM($F$8:$F$26)</f>
        <v>30.902999999999999</v>
      </c>
      <c r="G31" s="820"/>
      <c r="J31" s="397" t="s">
        <v>21</v>
      </c>
      <c r="K31" s="397" t="s">
        <v>21</v>
      </c>
      <c r="L31" s="397" t="s">
        <v>21</v>
      </c>
      <c r="M31" s="820"/>
      <c r="N31" s="397" t="s">
        <v>21</v>
      </c>
      <c r="O31" s="397" t="s">
        <v>21</v>
      </c>
      <c r="P31" s="397" t="s">
        <v>21</v>
      </c>
      <c r="Q31" s="64" t="s">
        <v>21</v>
      </c>
      <c r="R31" s="64" t="s">
        <v>21</v>
      </c>
      <c r="S31" s="64" t="s">
        <v>21</v>
      </c>
      <c r="T31" s="64" t="s">
        <v>21</v>
      </c>
      <c r="U31" s="64" t="s">
        <v>21</v>
      </c>
      <c r="V31" s="64" t="s">
        <v>21</v>
      </c>
      <c r="W31" s="64" t="s">
        <v>21</v>
      </c>
      <c r="X31" s="64" t="s">
        <v>21</v>
      </c>
      <c r="Y31" s="64" t="s">
        <v>21</v>
      </c>
      <c r="Z31" s="397" t="s">
        <v>21</v>
      </c>
      <c r="AA31" s="820"/>
      <c r="AB31" s="397" t="s">
        <v>21</v>
      </c>
      <c r="AC31" s="397" t="s">
        <v>21</v>
      </c>
      <c r="AD31" s="397" t="s">
        <v>21</v>
      </c>
      <c r="AE31" s="397" t="s">
        <v>21</v>
      </c>
      <c r="AF31" s="397" t="s">
        <v>21</v>
      </c>
      <c r="AG31" s="397" t="s">
        <v>21</v>
      </c>
    </row>
    <row r="32" spans="1:33">
      <c r="A32" s="397" t="s">
        <v>21</v>
      </c>
      <c r="B32" s="397" t="s">
        <v>21</v>
      </c>
      <c r="C32" s="397" t="s">
        <v>21</v>
      </c>
      <c r="D32" s="397"/>
      <c r="E32" s="820"/>
      <c r="F32" s="64"/>
      <c r="G32" s="820"/>
      <c r="J32" s="397" t="s">
        <v>21</v>
      </c>
      <c r="K32" s="397" t="s">
        <v>21</v>
      </c>
      <c r="L32" s="397" t="s">
        <v>21</v>
      </c>
      <c r="M32" s="820"/>
      <c r="N32" s="397" t="s">
        <v>21</v>
      </c>
      <c r="O32" s="397" t="s">
        <v>21</v>
      </c>
      <c r="P32" s="397" t="s">
        <v>21</v>
      </c>
      <c r="Q32" s="64" t="s">
        <v>21</v>
      </c>
      <c r="R32" s="64" t="s">
        <v>21</v>
      </c>
      <c r="S32" s="64" t="s">
        <v>21</v>
      </c>
      <c r="T32" s="64" t="s">
        <v>21</v>
      </c>
      <c r="U32" s="64" t="s">
        <v>21</v>
      </c>
      <c r="V32" s="64" t="s">
        <v>21</v>
      </c>
      <c r="W32" s="64" t="s">
        <v>21</v>
      </c>
      <c r="X32" s="64" t="s">
        <v>21</v>
      </c>
      <c r="Y32" s="64" t="s">
        <v>21</v>
      </c>
      <c r="Z32" s="397" t="s">
        <v>21</v>
      </c>
      <c r="AA32" s="820"/>
      <c r="AB32" s="397" t="s">
        <v>21</v>
      </c>
      <c r="AC32" s="397" t="s">
        <v>21</v>
      </c>
      <c r="AD32" s="397" t="s">
        <v>21</v>
      </c>
      <c r="AE32" s="397" t="s">
        <v>21</v>
      </c>
      <c r="AF32" s="397" t="s">
        <v>21</v>
      </c>
      <c r="AG32" s="397" t="s">
        <v>21</v>
      </c>
    </row>
    <row r="33" spans="1:46">
      <c r="A33" s="397" t="s">
        <v>21</v>
      </c>
      <c r="B33" s="397" t="s">
        <v>21</v>
      </c>
      <c r="C33" s="397" t="s">
        <v>21</v>
      </c>
      <c r="D33" s="397"/>
      <c r="E33" s="820"/>
      <c r="F33" s="64"/>
      <c r="G33" s="820"/>
      <c r="J33" s="397" t="s">
        <v>21</v>
      </c>
      <c r="K33" s="397" t="s">
        <v>21</v>
      </c>
      <c r="L33" s="397" t="s">
        <v>21</v>
      </c>
      <c r="M33" s="820"/>
      <c r="N33" s="397" t="s">
        <v>21</v>
      </c>
      <c r="O33" s="397" t="s">
        <v>21</v>
      </c>
      <c r="P33" s="397" t="s">
        <v>21</v>
      </c>
      <c r="Q33" s="64" t="s">
        <v>21</v>
      </c>
      <c r="R33" s="64" t="s">
        <v>21</v>
      </c>
      <c r="S33" s="64" t="s">
        <v>21</v>
      </c>
      <c r="T33" s="64" t="s">
        <v>21</v>
      </c>
      <c r="U33" s="64" t="s">
        <v>21</v>
      </c>
      <c r="V33" s="64" t="s">
        <v>21</v>
      </c>
      <c r="W33" s="64" t="s">
        <v>21</v>
      </c>
      <c r="X33" s="64" t="s">
        <v>21</v>
      </c>
      <c r="Y33" s="64" t="s">
        <v>21</v>
      </c>
      <c r="Z33" s="397" t="s">
        <v>21</v>
      </c>
      <c r="AA33" s="820"/>
      <c r="AB33" s="397" t="s">
        <v>21</v>
      </c>
      <c r="AC33" s="397" t="s">
        <v>21</v>
      </c>
      <c r="AD33" s="397" t="s">
        <v>21</v>
      </c>
      <c r="AE33" s="397" t="s">
        <v>21</v>
      </c>
      <c r="AF33" s="397" t="s">
        <v>21</v>
      </c>
      <c r="AG33" s="397" t="s">
        <v>21</v>
      </c>
    </row>
    <row r="34" spans="1:46">
      <c r="A34" s="397" t="s">
        <v>21</v>
      </c>
      <c r="B34" s="397" t="s">
        <v>21</v>
      </c>
      <c r="C34" s="397" t="s">
        <v>21</v>
      </c>
      <c r="D34" s="397"/>
      <c r="E34" s="820"/>
      <c r="F34" s="64"/>
      <c r="G34" s="820"/>
      <c r="J34" s="397" t="s">
        <v>21</v>
      </c>
      <c r="K34" s="397" t="s">
        <v>21</v>
      </c>
      <c r="L34" s="397" t="s">
        <v>21</v>
      </c>
      <c r="M34" s="820"/>
      <c r="N34" s="397" t="s">
        <v>21</v>
      </c>
      <c r="O34" s="397" t="s">
        <v>21</v>
      </c>
      <c r="P34" s="397" t="s">
        <v>21</v>
      </c>
      <c r="Q34" s="64" t="s">
        <v>21</v>
      </c>
      <c r="R34" s="64" t="s">
        <v>21</v>
      </c>
      <c r="S34" s="64" t="s">
        <v>21</v>
      </c>
      <c r="T34" s="64" t="s">
        <v>21</v>
      </c>
      <c r="U34" s="64" t="s">
        <v>21</v>
      </c>
      <c r="V34" s="64" t="s">
        <v>21</v>
      </c>
      <c r="W34" s="64" t="s">
        <v>21</v>
      </c>
      <c r="X34" s="64" t="s">
        <v>21</v>
      </c>
      <c r="Y34" s="64" t="s">
        <v>21</v>
      </c>
      <c r="Z34" s="397" t="s">
        <v>21</v>
      </c>
      <c r="AA34" s="820"/>
      <c r="AB34" s="397" t="s">
        <v>21</v>
      </c>
      <c r="AC34" s="397" t="s">
        <v>21</v>
      </c>
      <c r="AD34" s="397" t="s">
        <v>21</v>
      </c>
      <c r="AE34" s="397" t="s">
        <v>21</v>
      </c>
      <c r="AF34" s="397" t="s">
        <v>21</v>
      </c>
      <c r="AG34" s="397" t="s">
        <v>21</v>
      </c>
    </row>
    <row r="35" spans="1:46">
      <c r="A35" s="397" t="s">
        <v>21</v>
      </c>
      <c r="B35" s="397" t="s">
        <v>21</v>
      </c>
      <c r="C35" s="397" t="s">
        <v>21</v>
      </c>
      <c r="D35" s="397"/>
      <c r="E35" s="820"/>
      <c r="F35" s="64"/>
      <c r="G35" s="820"/>
      <c r="J35" s="397" t="s">
        <v>21</v>
      </c>
      <c r="K35" s="397" t="s">
        <v>21</v>
      </c>
      <c r="L35" s="397" t="s">
        <v>21</v>
      </c>
      <c r="M35" s="820"/>
      <c r="N35" s="397" t="s">
        <v>21</v>
      </c>
      <c r="O35" s="397" t="s">
        <v>21</v>
      </c>
      <c r="P35" s="397" t="s">
        <v>21</v>
      </c>
      <c r="Q35" s="64" t="s">
        <v>21</v>
      </c>
      <c r="R35" s="64" t="s">
        <v>21</v>
      </c>
      <c r="S35" s="64" t="s">
        <v>21</v>
      </c>
      <c r="T35" s="64" t="s">
        <v>21</v>
      </c>
      <c r="U35" s="64" t="s">
        <v>21</v>
      </c>
      <c r="V35" s="64" t="s">
        <v>21</v>
      </c>
      <c r="W35" s="64" t="s">
        <v>21</v>
      </c>
      <c r="X35" s="64" t="s">
        <v>21</v>
      </c>
      <c r="Y35" s="64" t="s">
        <v>21</v>
      </c>
      <c r="Z35" s="397" t="s">
        <v>21</v>
      </c>
      <c r="AA35" s="820"/>
      <c r="AB35" s="397" t="s">
        <v>21</v>
      </c>
      <c r="AC35" s="397" t="s">
        <v>21</v>
      </c>
      <c r="AD35" s="397" t="s">
        <v>21</v>
      </c>
      <c r="AE35" s="397" t="s">
        <v>21</v>
      </c>
      <c r="AF35" s="397" t="s">
        <v>21</v>
      </c>
      <c r="AG35" s="397" t="s">
        <v>21</v>
      </c>
    </row>
    <row r="36" spans="1:46">
      <c r="A36" s="397" t="s">
        <v>21</v>
      </c>
      <c r="B36" s="397" t="s">
        <v>21</v>
      </c>
      <c r="C36" s="397" t="s">
        <v>21</v>
      </c>
      <c r="D36" s="397"/>
      <c r="E36" s="820"/>
      <c r="F36" s="64"/>
      <c r="G36" s="820"/>
      <c r="J36" s="397" t="s">
        <v>21</v>
      </c>
      <c r="K36" s="397" t="s">
        <v>21</v>
      </c>
      <c r="L36" s="397" t="s">
        <v>21</v>
      </c>
      <c r="M36" s="820"/>
      <c r="N36" s="397" t="s">
        <v>21</v>
      </c>
      <c r="O36" s="397" t="s">
        <v>21</v>
      </c>
      <c r="P36" s="397" t="s">
        <v>21</v>
      </c>
      <c r="Q36" s="64" t="s">
        <v>21</v>
      </c>
      <c r="R36" s="64" t="s">
        <v>21</v>
      </c>
      <c r="S36" s="64" t="s">
        <v>21</v>
      </c>
      <c r="T36" s="64" t="s">
        <v>21</v>
      </c>
      <c r="U36" s="64" t="s">
        <v>21</v>
      </c>
      <c r="V36" s="64" t="s">
        <v>21</v>
      </c>
      <c r="W36" s="64" t="s">
        <v>21</v>
      </c>
      <c r="X36" s="64" t="s">
        <v>21</v>
      </c>
      <c r="Y36" s="64" t="s">
        <v>21</v>
      </c>
      <c r="Z36" s="397" t="s">
        <v>21</v>
      </c>
      <c r="AA36" s="820"/>
      <c r="AB36" s="397" t="s">
        <v>21</v>
      </c>
      <c r="AC36" s="397" t="s">
        <v>21</v>
      </c>
      <c r="AD36" s="397" t="s">
        <v>21</v>
      </c>
      <c r="AE36" s="397" t="s">
        <v>21</v>
      </c>
      <c r="AF36" s="397" t="s">
        <v>21</v>
      </c>
      <c r="AG36" s="397" t="s">
        <v>21</v>
      </c>
    </row>
    <row r="37" spans="1:46">
      <c r="A37" s="397" t="s">
        <v>21</v>
      </c>
      <c r="B37" s="397" t="s">
        <v>21</v>
      </c>
      <c r="C37" s="397" t="s">
        <v>21</v>
      </c>
      <c r="D37" s="397"/>
      <c r="E37" s="820"/>
      <c r="F37" s="64"/>
      <c r="G37" s="820"/>
      <c r="J37" s="397" t="s">
        <v>21</v>
      </c>
      <c r="K37" s="397" t="s">
        <v>21</v>
      </c>
      <c r="L37" s="397" t="s">
        <v>21</v>
      </c>
      <c r="M37" s="820"/>
      <c r="N37" s="397" t="s">
        <v>21</v>
      </c>
      <c r="O37" s="397" t="s">
        <v>21</v>
      </c>
      <c r="P37" s="397" t="s">
        <v>21</v>
      </c>
      <c r="Q37" s="64" t="s">
        <v>21</v>
      </c>
      <c r="R37" s="64" t="s">
        <v>21</v>
      </c>
      <c r="S37" s="64" t="s">
        <v>21</v>
      </c>
      <c r="T37" s="64" t="s">
        <v>21</v>
      </c>
      <c r="U37" s="64" t="s">
        <v>21</v>
      </c>
      <c r="V37" s="64" t="s">
        <v>21</v>
      </c>
      <c r="W37" s="64" t="s">
        <v>21</v>
      </c>
      <c r="X37" s="64" t="s">
        <v>21</v>
      </c>
      <c r="Y37" s="64" t="s">
        <v>21</v>
      </c>
      <c r="Z37" s="397" t="s">
        <v>21</v>
      </c>
      <c r="AA37" s="820"/>
      <c r="AB37" s="397" t="s">
        <v>21</v>
      </c>
      <c r="AC37" s="397" t="s">
        <v>21</v>
      </c>
      <c r="AD37" s="397" t="s">
        <v>21</v>
      </c>
      <c r="AE37" s="397" t="s">
        <v>21</v>
      </c>
      <c r="AF37" s="397" t="s">
        <v>21</v>
      </c>
      <c r="AG37" s="397" t="s">
        <v>21</v>
      </c>
    </row>
    <row r="38" spans="1:46">
      <c r="A38" s="397" t="s">
        <v>21</v>
      </c>
      <c r="B38" s="397" t="s">
        <v>21</v>
      </c>
      <c r="C38" s="397" t="s">
        <v>21</v>
      </c>
      <c r="D38" s="397"/>
      <c r="E38" s="820"/>
      <c r="F38" s="64"/>
      <c r="G38" s="820"/>
      <c r="J38" s="397" t="s">
        <v>21</v>
      </c>
      <c r="K38" s="397" t="s">
        <v>21</v>
      </c>
      <c r="L38" s="397" t="s">
        <v>21</v>
      </c>
      <c r="M38" s="820"/>
      <c r="N38" s="397" t="s">
        <v>21</v>
      </c>
      <c r="O38" s="397" t="s">
        <v>21</v>
      </c>
      <c r="P38" s="397" t="s">
        <v>21</v>
      </c>
      <c r="Q38" s="64" t="s">
        <v>21</v>
      </c>
      <c r="R38" s="64" t="s">
        <v>21</v>
      </c>
      <c r="S38" s="64" t="s">
        <v>21</v>
      </c>
      <c r="T38" s="64" t="s">
        <v>21</v>
      </c>
      <c r="U38" s="64" t="s">
        <v>21</v>
      </c>
      <c r="V38" s="64" t="s">
        <v>21</v>
      </c>
      <c r="W38" s="64" t="s">
        <v>21</v>
      </c>
      <c r="X38" s="64" t="s">
        <v>21</v>
      </c>
      <c r="Y38" s="64" t="s">
        <v>21</v>
      </c>
      <c r="Z38" s="397" t="s">
        <v>21</v>
      </c>
      <c r="AA38" s="820"/>
      <c r="AB38" s="397" t="s">
        <v>21</v>
      </c>
      <c r="AC38" s="397" t="s">
        <v>21</v>
      </c>
      <c r="AD38" s="397" t="s">
        <v>21</v>
      </c>
      <c r="AE38" s="397" t="s">
        <v>21</v>
      </c>
      <c r="AF38" s="397" t="s">
        <v>21</v>
      </c>
      <c r="AG38" s="397" t="s">
        <v>21</v>
      </c>
      <c r="AT38" s="404"/>
    </row>
    <row r="39" spans="1:46">
      <c r="A39" s="397" t="s">
        <v>21</v>
      </c>
      <c r="B39" s="397" t="s">
        <v>21</v>
      </c>
      <c r="C39" s="397" t="s">
        <v>21</v>
      </c>
      <c r="D39" s="397"/>
      <c r="E39" s="820"/>
      <c r="F39" s="64"/>
      <c r="G39" s="820"/>
      <c r="J39" s="400" t="s">
        <v>21</v>
      </c>
      <c r="K39" s="400" t="s">
        <v>21</v>
      </c>
      <c r="L39" s="400" t="s">
        <v>21</v>
      </c>
      <c r="M39" s="401" t="s">
        <v>21</v>
      </c>
      <c r="N39" s="400" t="s">
        <v>21</v>
      </c>
      <c r="O39" s="400" t="s">
        <v>21</v>
      </c>
      <c r="P39" s="400" t="s">
        <v>21</v>
      </c>
      <c r="Q39" s="402" t="s">
        <v>21</v>
      </c>
      <c r="R39" s="402" t="s">
        <v>21</v>
      </c>
      <c r="S39" s="402" t="s">
        <v>21</v>
      </c>
      <c r="T39" s="402" t="s">
        <v>21</v>
      </c>
      <c r="U39" s="402" t="s">
        <v>21</v>
      </c>
      <c r="V39" s="402" t="s">
        <v>21</v>
      </c>
      <c r="W39" s="402" t="s">
        <v>21</v>
      </c>
      <c r="X39" s="402" t="s">
        <v>21</v>
      </c>
      <c r="Y39" s="402" t="s">
        <v>21</v>
      </c>
      <c r="Z39" s="397" t="s">
        <v>21</v>
      </c>
      <c r="AA39" s="820" t="s">
        <v>21</v>
      </c>
      <c r="AB39" s="397" t="s">
        <v>21</v>
      </c>
      <c r="AC39" s="397" t="s">
        <v>21</v>
      </c>
      <c r="AD39" s="397" t="s">
        <v>21</v>
      </c>
      <c r="AE39" s="397" t="s">
        <v>21</v>
      </c>
      <c r="AF39" s="397" t="s">
        <v>21</v>
      </c>
      <c r="AG39" s="397" t="s">
        <v>21</v>
      </c>
      <c r="AT39" s="404"/>
    </row>
    <row r="40" spans="1:46">
      <c r="A40" s="397" t="s">
        <v>21</v>
      </c>
      <c r="B40" s="397" t="s">
        <v>21</v>
      </c>
      <c r="C40" s="397" t="s">
        <v>21</v>
      </c>
      <c r="D40" s="397"/>
      <c r="E40" s="820"/>
      <c r="F40" s="64"/>
      <c r="G40" s="820"/>
      <c r="J40" s="397" t="s">
        <v>21</v>
      </c>
      <c r="K40" s="397" t="s">
        <v>21</v>
      </c>
      <c r="L40" s="397" t="s">
        <v>21</v>
      </c>
      <c r="M40" s="820"/>
      <c r="N40" s="397" t="s">
        <v>21</v>
      </c>
      <c r="O40" s="397" t="s">
        <v>21</v>
      </c>
      <c r="P40" s="397" t="s">
        <v>21</v>
      </c>
      <c r="Q40" s="64" t="s">
        <v>21</v>
      </c>
      <c r="R40" s="64" t="s">
        <v>21</v>
      </c>
      <c r="S40" s="64" t="s">
        <v>21</v>
      </c>
      <c r="T40" s="64" t="s">
        <v>21</v>
      </c>
      <c r="U40" s="64" t="s">
        <v>21</v>
      </c>
      <c r="V40" s="64" t="s">
        <v>21</v>
      </c>
      <c r="W40" s="64" t="s">
        <v>21</v>
      </c>
      <c r="X40" s="64" t="s">
        <v>21</v>
      </c>
      <c r="Y40" s="64" t="s">
        <v>21</v>
      </c>
      <c r="Z40" s="397" t="s">
        <v>21</v>
      </c>
      <c r="AA40" s="820"/>
      <c r="AB40" s="397" t="s">
        <v>21</v>
      </c>
      <c r="AC40" s="397" t="s">
        <v>21</v>
      </c>
      <c r="AD40" s="397" t="s">
        <v>21</v>
      </c>
      <c r="AE40" s="397" t="s">
        <v>21</v>
      </c>
      <c r="AF40" s="397" t="s">
        <v>21</v>
      </c>
      <c r="AG40" s="397" t="s">
        <v>21</v>
      </c>
      <c r="AT40" s="404"/>
    </row>
    <row r="41" spans="1:46">
      <c r="A41" s="397" t="s">
        <v>21</v>
      </c>
      <c r="B41" s="397" t="s">
        <v>21</v>
      </c>
      <c r="C41" s="397" t="s">
        <v>21</v>
      </c>
      <c r="D41" s="397"/>
      <c r="E41" s="820"/>
      <c r="F41" s="64"/>
      <c r="G41" s="820"/>
      <c r="J41" s="397" t="s">
        <v>21</v>
      </c>
      <c r="K41" s="397" t="s">
        <v>21</v>
      </c>
      <c r="L41" s="397" t="s">
        <v>21</v>
      </c>
      <c r="M41" s="820"/>
      <c r="N41" s="397" t="s">
        <v>21</v>
      </c>
      <c r="O41" s="397" t="s">
        <v>21</v>
      </c>
      <c r="P41" s="397" t="s">
        <v>21</v>
      </c>
      <c r="Q41" s="64" t="s">
        <v>21</v>
      </c>
      <c r="R41" s="64" t="s">
        <v>21</v>
      </c>
      <c r="S41" s="64" t="s">
        <v>21</v>
      </c>
      <c r="T41" s="64" t="s">
        <v>21</v>
      </c>
      <c r="U41" s="64" t="s">
        <v>21</v>
      </c>
      <c r="V41" s="64" t="s">
        <v>21</v>
      </c>
      <c r="W41" s="64" t="s">
        <v>21</v>
      </c>
      <c r="X41" s="64" t="s">
        <v>21</v>
      </c>
      <c r="Y41" s="64" t="s">
        <v>21</v>
      </c>
      <c r="Z41" s="397" t="s">
        <v>21</v>
      </c>
      <c r="AA41" s="820"/>
      <c r="AB41" s="397" t="s">
        <v>21</v>
      </c>
      <c r="AC41" s="397" t="s">
        <v>21</v>
      </c>
      <c r="AD41" s="397" t="s">
        <v>21</v>
      </c>
      <c r="AE41" s="397" t="s">
        <v>21</v>
      </c>
      <c r="AF41" s="397" t="s">
        <v>21</v>
      </c>
      <c r="AG41" s="397" t="s">
        <v>21</v>
      </c>
      <c r="AT41" s="404"/>
    </row>
    <row r="42" spans="1:46">
      <c r="A42" s="397" t="s">
        <v>21</v>
      </c>
      <c r="B42" s="397" t="s">
        <v>21</v>
      </c>
      <c r="C42" s="397" t="s">
        <v>21</v>
      </c>
      <c r="D42" s="397"/>
      <c r="E42" s="820"/>
      <c r="F42" s="64"/>
      <c r="G42" s="820"/>
      <c r="J42" s="397" t="s">
        <v>21</v>
      </c>
      <c r="K42" s="397" t="s">
        <v>21</v>
      </c>
      <c r="L42" s="397" t="s">
        <v>21</v>
      </c>
      <c r="M42" s="820"/>
      <c r="N42" s="397" t="s">
        <v>21</v>
      </c>
      <c r="O42" s="397" t="s">
        <v>21</v>
      </c>
      <c r="P42" s="397" t="s">
        <v>21</v>
      </c>
      <c r="Q42" s="64" t="s">
        <v>21</v>
      </c>
      <c r="R42" s="64" t="s">
        <v>21</v>
      </c>
      <c r="S42" s="64" t="s">
        <v>21</v>
      </c>
      <c r="T42" s="64" t="s">
        <v>21</v>
      </c>
      <c r="U42" s="64" t="s">
        <v>21</v>
      </c>
      <c r="V42" s="64" t="s">
        <v>21</v>
      </c>
      <c r="W42" s="64" t="s">
        <v>21</v>
      </c>
      <c r="X42" s="64" t="s">
        <v>21</v>
      </c>
      <c r="Y42" s="64" t="s">
        <v>21</v>
      </c>
      <c r="Z42" s="397" t="s">
        <v>21</v>
      </c>
      <c r="AA42" s="820"/>
      <c r="AB42" s="397" t="s">
        <v>21</v>
      </c>
      <c r="AC42" s="397" t="s">
        <v>21</v>
      </c>
      <c r="AD42" s="397" t="s">
        <v>21</v>
      </c>
      <c r="AE42" s="397" t="s">
        <v>21</v>
      </c>
      <c r="AF42" s="397" t="s">
        <v>21</v>
      </c>
      <c r="AG42" s="397" t="s">
        <v>21</v>
      </c>
    </row>
    <row r="43" spans="1:46">
      <c r="A43" s="397" t="s">
        <v>21</v>
      </c>
      <c r="B43" s="397" t="s">
        <v>21</v>
      </c>
      <c r="C43" s="397" t="s">
        <v>21</v>
      </c>
      <c r="D43" s="397"/>
      <c r="E43" s="820"/>
      <c r="F43" s="64"/>
      <c r="G43" s="820"/>
      <c r="J43" s="397" t="s">
        <v>21</v>
      </c>
      <c r="K43" s="397" t="s">
        <v>21</v>
      </c>
      <c r="L43" s="397" t="s">
        <v>21</v>
      </c>
      <c r="M43" s="820"/>
      <c r="N43" s="397" t="s">
        <v>21</v>
      </c>
      <c r="O43" s="397" t="s">
        <v>21</v>
      </c>
      <c r="P43" s="397" t="s">
        <v>21</v>
      </c>
      <c r="Q43" s="397" t="s">
        <v>21</v>
      </c>
      <c r="R43" s="397" t="s">
        <v>21</v>
      </c>
      <c r="S43" s="397" t="s">
        <v>21</v>
      </c>
      <c r="T43" s="397" t="s">
        <v>21</v>
      </c>
      <c r="U43" s="64" t="s">
        <v>21</v>
      </c>
      <c r="V43" s="64" t="s">
        <v>21</v>
      </c>
      <c r="W43" s="64" t="s">
        <v>21</v>
      </c>
      <c r="X43" s="64" t="s">
        <v>21</v>
      </c>
      <c r="Y43" s="64" t="s">
        <v>21</v>
      </c>
      <c r="Z43" s="397" t="s">
        <v>21</v>
      </c>
      <c r="AA43" s="820"/>
      <c r="AB43" s="397" t="s">
        <v>21</v>
      </c>
      <c r="AC43" s="397" t="s">
        <v>21</v>
      </c>
      <c r="AD43" s="397" t="s">
        <v>21</v>
      </c>
      <c r="AE43" s="397" t="s">
        <v>21</v>
      </c>
      <c r="AF43" s="397" t="s">
        <v>21</v>
      </c>
      <c r="AG43" s="397" t="s">
        <v>21</v>
      </c>
    </row>
    <row r="44" spans="1:46">
      <c r="A44" s="397" t="s">
        <v>21</v>
      </c>
      <c r="B44" s="397" t="s">
        <v>21</v>
      </c>
      <c r="C44" s="397" t="s">
        <v>21</v>
      </c>
      <c r="D44" s="397"/>
      <c r="E44" s="820"/>
      <c r="F44" s="64"/>
      <c r="G44" s="820"/>
      <c r="J44" s="397" t="s">
        <v>21</v>
      </c>
      <c r="K44" s="397" t="s">
        <v>21</v>
      </c>
      <c r="L44" s="397" t="s">
        <v>21</v>
      </c>
      <c r="M44" s="820"/>
      <c r="N44" s="397" t="s">
        <v>21</v>
      </c>
      <c r="O44" s="397" t="s">
        <v>21</v>
      </c>
      <c r="P44" s="397" t="s">
        <v>21</v>
      </c>
      <c r="Q44" s="64" t="s">
        <v>21</v>
      </c>
      <c r="R44" s="64" t="s">
        <v>21</v>
      </c>
      <c r="S44" s="64" t="s">
        <v>21</v>
      </c>
      <c r="T44" s="64" t="s">
        <v>21</v>
      </c>
      <c r="U44" s="64" t="s">
        <v>21</v>
      </c>
      <c r="V44" s="64" t="s">
        <v>21</v>
      </c>
      <c r="W44" s="64" t="s">
        <v>21</v>
      </c>
      <c r="X44" s="64" t="s">
        <v>21</v>
      </c>
      <c r="Y44" s="64" t="s">
        <v>21</v>
      </c>
      <c r="Z44" s="397" t="s">
        <v>21</v>
      </c>
      <c r="AA44" s="820"/>
      <c r="AB44" s="397" t="s">
        <v>21</v>
      </c>
      <c r="AC44" s="397" t="s">
        <v>21</v>
      </c>
      <c r="AD44" s="397" t="s">
        <v>21</v>
      </c>
      <c r="AE44" s="397" t="s">
        <v>21</v>
      </c>
      <c r="AF44" s="397" t="s">
        <v>21</v>
      </c>
      <c r="AG44" s="397" t="s">
        <v>21</v>
      </c>
    </row>
    <row r="45" spans="1:46">
      <c r="A45" s="397" t="s">
        <v>21</v>
      </c>
      <c r="B45" s="397" t="s">
        <v>21</v>
      </c>
      <c r="C45" s="397" t="s">
        <v>21</v>
      </c>
      <c r="D45" s="397"/>
      <c r="E45" s="820"/>
      <c r="F45" s="64"/>
      <c r="G45" s="820"/>
      <c r="J45" s="397" t="s">
        <v>21</v>
      </c>
      <c r="K45" s="397" t="s">
        <v>21</v>
      </c>
      <c r="L45" s="397" t="s">
        <v>21</v>
      </c>
      <c r="M45" s="820"/>
      <c r="N45" s="397" t="s">
        <v>21</v>
      </c>
      <c r="O45" s="397" t="s">
        <v>21</v>
      </c>
      <c r="P45" s="397" t="s">
        <v>21</v>
      </c>
      <c r="Q45" s="64" t="s">
        <v>21</v>
      </c>
      <c r="R45" s="64" t="s">
        <v>21</v>
      </c>
      <c r="S45" s="64" t="s">
        <v>21</v>
      </c>
      <c r="T45" s="64" t="s">
        <v>21</v>
      </c>
      <c r="U45" s="64" t="s">
        <v>21</v>
      </c>
      <c r="V45" s="64" t="s">
        <v>21</v>
      </c>
      <c r="W45" s="64" t="s">
        <v>21</v>
      </c>
      <c r="X45" s="64" t="s">
        <v>21</v>
      </c>
      <c r="Y45" s="64" t="s">
        <v>21</v>
      </c>
      <c r="Z45" s="397" t="s">
        <v>21</v>
      </c>
      <c r="AA45" s="820"/>
      <c r="AB45" s="397" t="s">
        <v>21</v>
      </c>
      <c r="AC45" s="397" t="s">
        <v>21</v>
      </c>
      <c r="AD45" s="397" t="s">
        <v>21</v>
      </c>
      <c r="AE45" s="397" t="s">
        <v>21</v>
      </c>
      <c r="AF45" s="397" t="s">
        <v>21</v>
      </c>
      <c r="AG45" s="397" t="s">
        <v>21</v>
      </c>
    </row>
    <row r="46" spans="1:46">
      <c r="A46" s="397" t="s">
        <v>21</v>
      </c>
      <c r="B46" s="397" t="s">
        <v>21</v>
      </c>
      <c r="C46" s="397" t="s">
        <v>21</v>
      </c>
      <c r="D46" s="397"/>
      <c r="E46" s="820"/>
      <c r="F46" s="64"/>
      <c r="G46" s="820"/>
      <c r="J46" s="397" t="s">
        <v>21</v>
      </c>
      <c r="K46" s="397" t="s">
        <v>21</v>
      </c>
      <c r="L46" s="397" t="s">
        <v>21</v>
      </c>
      <c r="M46" s="820"/>
      <c r="N46" s="397" t="s">
        <v>21</v>
      </c>
      <c r="O46" s="397" t="s">
        <v>21</v>
      </c>
      <c r="P46" s="397" t="s">
        <v>21</v>
      </c>
      <c r="Q46" s="64" t="s">
        <v>21</v>
      </c>
      <c r="R46" s="64" t="s">
        <v>21</v>
      </c>
      <c r="S46" s="64" t="s">
        <v>21</v>
      </c>
      <c r="T46" s="64" t="s">
        <v>21</v>
      </c>
      <c r="U46" s="64" t="s">
        <v>21</v>
      </c>
      <c r="V46" s="64" t="s">
        <v>21</v>
      </c>
      <c r="W46" s="64" t="s">
        <v>21</v>
      </c>
      <c r="X46" s="64" t="s">
        <v>21</v>
      </c>
      <c r="Y46" s="64" t="s">
        <v>21</v>
      </c>
      <c r="Z46" s="397" t="s">
        <v>21</v>
      </c>
      <c r="AA46" s="820"/>
      <c r="AB46" s="397" t="s">
        <v>21</v>
      </c>
      <c r="AC46" s="397" t="s">
        <v>21</v>
      </c>
      <c r="AD46" s="397" t="s">
        <v>21</v>
      </c>
      <c r="AE46" s="397" t="s">
        <v>21</v>
      </c>
      <c r="AF46" s="397" t="s">
        <v>21</v>
      </c>
      <c r="AG46" s="397" t="s">
        <v>21</v>
      </c>
    </row>
    <row r="47" spans="1:46">
      <c r="A47" s="397" t="s">
        <v>21</v>
      </c>
      <c r="B47" s="397" t="s">
        <v>21</v>
      </c>
      <c r="C47" s="397" t="s">
        <v>21</v>
      </c>
      <c r="D47" s="397"/>
      <c r="E47" s="820"/>
      <c r="F47" s="64"/>
      <c r="G47" s="820"/>
      <c r="J47" s="397" t="s">
        <v>21</v>
      </c>
      <c r="K47" s="397" t="s">
        <v>21</v>
      </c>
      <c r="L47" s="1010" t="s">
        <v>2761</v>
      </c>
      <c r="M47" s="1010"/>
      <c r="N47" s="1010"/>
      <c r="O47" s="1010"/>
      <c r="P47" s="1010"/>
      <c r="Q47" s="1010"/>
      <c r="R47" s="1010"/>
      <c r="S47" s="1010"/>
      <c r="T47" s="1010"/>
      <c r="U47" s="1010"/>
      <c r="V47" s="1010"/>
      <c r="W47" s="1010"/>
      <c r="X47" s="1010"/>
      <c r="Y47" s="1010"/>
      <c r="Z47" s="1010"/>
      <c r="AA47" s="820"/>
      <c r="AB47" s="397" t="s">
        <v>21</v>
      </c>
      <c r="AC47" s="397" t="s">
        <v>21</v>
      </c>
      <c r="AD47" s="397" t="s">
        <v>21</v>
      </c>
      <c r="AE47" s="397" t="s">
        <v>21</v>
      </c>
      <c r="AF47" s="397" t="s">
        <v>21</v>
      </c>
      <c r="AG47" s="397" t="s">
        <v>21</v>
      </c>
    </row>
    <row r="48" spans="1:46">
      <c r="A48" s="397" t="s">
        <v>21</v>
      </c>
      <c r="B48" s="397" t="s">
        <v>21</v>
      </c>
      <c r="C48" s="397" t="s">
        <v>21</v>
      </c>
      <c r="D48" s="397"/>
      <c r="E48" s="820"/>
      <c r="F48" s="64"/>
      <c r="G48" s="820"/>
      <c r="J48" s="397" t="s">
        <v>21</v>
      </c>
      <c r="K48" s="397" t="s">
        <v>21</v>
      </c>
      <c r="L48" s="1010"/>
      <c r="M48" s="1010"/>
      <c r="N48" s="1010"/>
      <c r="O48" s="1010"/>
      <c r="P48" s="1010"/>
      <c r="Q48" s="1010"/>
      <c r="R48" s="1010"/>
      <c r="S48" s="1010"/>
      <c r="T48" s="1010"/>
      <c r="U48" s="1010"/>
      <c r="V48" s="1010"/>
      <c r="W48" s="1010"/>
      <c r="X48" s="1010"/>
      <c r="Y48" s="1010"/>
      <c r="Z48" s="1010"/>
      <c r="AA48" s="820"/>
      <c r="AB48" s="397" t="s">
        <v>21</v>
      </c>
      <c r="AC48" s="397" t="s">
        <v>21</v>
      </c>
      <c r="AD48" s="397" t="s">
        <v>21</v>
      </c>
      <c r="AE48" s="397" t="s">
        <v>21</v>
      </c>
      <c r="AF48" s="397" t="s">
        <v>21</v>
      </c>
      <c r="AG48" s="397" t="s">
        <v>21</v>
      </c>
    </row>
    <row r="49" spans="1:33" ht="15.75" customHeight="1">
      <c r="A49" s="397" t="s">
        <v>21</v>
      </c>
      <c r="B49" s="397" t="s">
        <v>21</v>
      </c>
      <c r="C49" s="397" t="s">
        <v>21</v>
      </c>
      <c r="D49" s="397"/>
      <c r="E49" s="820"/>
      <c r="F49" s="64"/>
      <c r="G49" s="820"/>
      <c r="J49" s="397" t="s">
        <v>21</v>
      </c>
      <c r="K49" s="397" t="s">
        <v>21</v>
      </c>
      <c r="L49" s="1010"/>
      <c r="M49" s="1010"/>
      <c r="N49" s="1010"/>
      <c r="O49" s="1010"/>
      <c r="P49" s="1010"/>
      <c r="Q49" s="1010"/>
      <c r="R49" s="1010"/>
      <c r="S49" s="1010"/>
      <c r="T49" s="1010"/>
      <c r="U49" s="1010"/>
      <c r="V49" s="1010"/>
      <c r="W49" s="1010"/>
      <c r="X49" s="1010"/>
      <c r="Y49" s="1010"/>
      <c r="Z49" s="1010"/>
      <c r="AA49" s="820"/>
      <c r="AB49" s="397" t="s">
        <v>21</v>
      </c>
      <c r="AC49" s="397" t="s">
        <v>21</v>
      </c>
      <c r="AD49" s="397" t="s">
        <v>21</v>
      </c>
      <c r="AE49" s="397" t="s">
        <v>21</v>
      </c>
      <c r="AF49" s="397" t="s">
        <v>21</v>
      </c>
      <c r="AG49" s="397" t="s">
        <v>21</v>
      </c>
    </row>
    <row r="50" spans="1:33">
      <c r="A50" s="397" t="s">
        <v>21</v>
      </c>
      <c r="B50" s="397" t="s">
        <v>21</v>
      </c>
      <c r="C50" s="397" t="s">
        <v>21</v>
      </c>
      <c r="D50" s="397"/>
      <c r="E50" s="820"/>
      <c r="F50" s="64"/>
      <c r="G50" s="820"/>
      <c r="J50" s="397" t="s">
        <v>21</v>
      </c>
      <c r="K50" s="397" t="s">
        <v>21</v>
      </c>
      <c r="L50" s="1010"/>
      <c r="M50" s="1010"/>
      <c r="N50" s="1010"/>
      <c r="O50" s="1010"/>
      <c r="P50" s="1010"/>
      <c r="Q50" s="1010"/>
      <c r="R50" s="1010"/>
      <c r="S50" s="1010"/>
      <c r="T50" s="1010"/>
      <c r="U50" s="1010"/>
      <c r="V50" s="1010"/>
      <c r="W50" s="1010"/>
      <c r="X50" s="1010"/>
      <c r="Y50" s="1010"/>
      <c r="Z50" s="1010"/>
      <c r="AA50" s="820"/>
      <c r="AB50" s="397" t="s">
        <v>21</v>
      </c>
      <c r="AC50" s="397" t="s">
        <v>21</v>
      </c>
      <c r="AD50" s="397" t="s">
        <v>21</v>
      </c>
      <c r="AE50" s="397" t="s">
        <v>21</v>
      </c>
      <c r="AF50" s="397" t="s">
        <v>21</v>
      </c>
      <c r="AG50" s="397" t="s">
        <v>21</v>
      </c>
    </row>
    <row r="51" spans="1:33">
      <c r="A51" s="397" t="s">
        <v>21</v>
      </c>
      <c r="B51" s="397" t="s">
        <v>21</v>
      </c>
      <c r="C51" s="397" t="s">
        <v>21</v>
      </c>
      <c r="D51" s="397"/>
      <c r="E51" s="820"/>
      <c r="F51" s="64"/>
      <c r="G51" s="820"/>
      <c r="J51" s="397" t="s">
        <v>21</v>
      </c>
      <c r="K51" s="397" t="s">
        <v>21</v>
      </c>
      <c r="L51" s="1010"/>
      <c r="M51" s="1010"/>
      <c r="N51" s="1010"/>
      <c r="O51" s="1010"/>
      <c r="P51" s="1010"/>
      <c r="Q51" s="1010"/>
      <c r="R51" s="1010"/>
      <c r="S51" s="1010"/>
      <c r="T51" s="1010"/>
      <c r="U51" s="1010"/>
      <c r="V51" s="1010"/>
      <c r="W51" s="1010"/>
      <c r="X51" s="1010"/>
      <c r="Y51" s="1010"/>
      <c r="Z51" s="1010"/>
      <c r="AA51" s="820"/>
      <c r="AB51" s="397" t="s">
        <v>21</v>
      </c>
      <c r="AC51" s="397" t="s">
        <v>21</v>
      </c>
      <c r="AD51" s="397" t="s">
        <v>21</v>
      </c>
      <c r="AE51" s="397" t="s">
        <v>21</v>
      </c>
      <c r="AF51" s="397" t="s">
        <v>21</v>
      </c>
      <c r="AG51" s="397" t="s">
        <v>21</v>
      </c>
    </row>
    <row r="52" spans="1:33">
      <c r="A52" s="397" t="s">
        <v>21</v>
      </c>
      <c r="B52" s="397" t="s">
        <v>21</v>
      </c>
      <c r="C52" s="397" t="s">
        <v>21</v>
      </c>
      <c r="D52" s="397"/>
      <c r="E52" s="820"/>
      <c r="F52" s="64"/>
      <c r="G52" s="820"/>
      <c r="J52" s="397" t="s">
        <v>21</v>
      </c>
      <c r="K52" s="397" t="s">
        <v>21</v>
      </c>
      <c r="L52" s="397" t="s">
        <v>21</v>
      </c>
      <c r="M52" s="820"/>
      <c r="N52" s="397" t="s">
        <v>21</v>
      </c>
      <c r="O52" s="397" t="s">
        <v>21</v>
      </c>
      <c r="P52" s="397" t="s">
        <v>21</v>
      </c>
      <c r="Q52" s="64" t="s">
        <v>21</v>
      </c>
      <c r="R52" s="64" t="s">
        <v>21</v>
      </c>
      <c r="S52" s="64" t="s">
        <v>21</v>
      </c>
      <c r="T52" s="64" t="s">
        <v>21</v>
      </c>
      <c r="U52" s="64" t="s">
        <v>21</v>
      </c>
      <c r="V52" s="64" t="s">
        <v>21</v>
      </c>
      <c r="W52" s="64" t="s">
        <v>21</v>
      </c>
      <c r="X52" s="64" t="s">
        <v>21</v>
      </c>
      <c r="Y52" s="64" t="s">
        <v>21</v>
      </c>
      <c r="Z52" s="397" t="s">
        <v>21</v>
      </c>
      <c r="AA52" s="820"/>
      <c r="AB52" s="397" t="s">
        <v>21</v>
      </c>
      <c r="AC52" s="397" t="s">
        <v>21</v>
      </c>
      <c r="AD52" s="397" t="s">
        <v>21</v>
      </c>
      <c r="AE52" s="397" t="s">
        <v>21</v>
      </c>
      <c r="AF52" s="397" t="s">
        <v>21</v>
      </c>
      <c r="AG52" s="397" t="s">
        <v>21</v>
      </c>
    </row>
    <row r="53" spans="1:33">
      <c r="A53" s="397" t="s">
        <v>21</v>
      </c>
      <c r="B53" s="397" t="s">
        <v>21</v>
      </c>
      <c r="C53" s="397" t="s">
        <v>21</v>
      </c>
      <c r="D53" s="397"/>
      <c r="E53" s="820"/>
      <c r="F53" s="64"/>
      <c r="G53" s="820"/>
      <c r="J53" s="397" t="s">
        <v>21</v>
      </c>
      <c r="K53" s="397" t="s">
        <v>21</v>
      </c>
      <c r="L53" s="397" t="s">
        <v>21</v>
      </c>
      <c r="M53" s="820"/>
      <c r="N53" s="397" t="s">
        <v>21</v>
      </c>
      <c r="O53" s="397" t="s">
        <v>21</v>
      </c>
      <c r="P53" s="397" t="s">
        <v>21</v>
      </c>
      <c r="Q53" s="64" t="s">
        <v>21</v>
      </c>
      <c r="R53" s="64" t="s">
        <v>21</v>
      </c>
      <c r="S53" s="64" t="s">
        <v>21</v>
      </c>
      <c r="T53" s="64" t="s">
        <v>21</v>
      </c>
      <c r="U53" s="64" t="s">
        <v>21</v>
      </c>
      <c r="V53" s="64" t="s">
        <v>21</v>
      </c>
      <c r="W53" s="64" t="s">
        <v>21</v>
      </c>
      <c r="X53" s="64" t="s">
        <v>21</v>
      </c>
      <c r="Y53" s="64" t="s">
        <v>21</v>
      </c>
      <c r="Z53" s="397" t="s">
        <v>21</v>
      </c>
      <c r="AA53" s="820"/>
      <c r="AB53" s="397" t="s">
        <v>21</v>
      </c>
      <c r="AC53" s="397" t="s">
        <v>21</v>
      </c>
      <c r="AD53" s="397" t="s">
        <v>21</v>
      </c>
      <c r="AE53" s="397" t="s">
        <v>21</v>
      </c>
      <c r="AF53" s="397" t="s">
        <v>21</v>
      </c>
      <c r="AG53" s="397" t="s">
        <v>21</v>
      </c>
    </row>
    <row r="54" spans="1:33">
      <c r="A54" s="397" t="s">
        <v>21</v>
      </c>
      <c r="B54" s="397" t="s">
        <v>21</v>
      </c>
      <c r="C54" s="397" t="s">
        <v>21</v>
      </c>
      <c r="D54" s="397"/>
      <c r="E54" s="820"/>
      <c r="F54" s="64"/>
      <c r="G54" s="820"/>
      <c r="J54" s="397" t="s">
        <v>21</v>
      </c>
      <c r="K54" s="397" t="s">
        <v>21</v>
      </c>
      <c r="L54" s="397" t="s">
        <v>21</v>
      </c>
      <c r="M54" s="820"/>
      <c r="N54" s="397" t="s">
        <v>21</v>
      </c>
      <c r="O54" s="397" t="s">
        <v>21</v>
      </c>
      <c r="P54" s="397" t="s">
        <v>21</v>
      </c>
      <c r="Q54" s="64" t="s">
        <v>21</v>
      </c>
      <c r="R54" s="64" t="s">
        <v>21</v>
      </c>
      <c r="S54" s="64" t="s">
        <v>21</v>
      </c>
      <c r="T54" s="64" t="s">
        <v>21</v>
      </c>
      <c r="U54" s="64" t="s">
        <v>21</v>
      </c>
      <c r="V54" s="64" t="s">
        <v>21</v>
      </c>
      <c r="W54" s="64" t="s">
        <v>21</v>
      </c>
      <c r="X54" s="64" t="s">
        <v>21</v>
      </c>
      <c r="Y54" s="64" t="s">
        <v>21</v>
      </c>
      <c r="Z54" s="397" t="s">
        <v>21</v>
      </c>
      <c r="AA54" s="820"/>
      <c r="AB54" s="397" t="s">
        <v>21</v>
      </c>
      <c r="AC54" s="397" t="s">
        <v>21</v>
      </c>
      <c r="AD54" s="397" t="s">
        <v>21</v>
      </c>
      <c r="AE54" s="397" t="s">
        <v>21</v>
      </c>
      <c r="AF54" s="397" t="s">
        <v>21</v>
      </c>
      <c r="AG54" s="397" t="s">
        <v>21</v>
      </c>
    </row>
    <row r="55" spans="1:33">
      <c r="A55" s="397" t="s">
        <v>21</v>
      </c>
      <c r="B55" s="397" t="s">
        <v>21</v>
      </c>
      <c r="C55" s="397" t="s">
        <v>21</v>
      </c>
      <c r="D55" s="397"/>
      <c r="E55" s="820"/>
      <c r="F55" s="64"/>
      <c r="G55" s="820"/>
      <c r="J55" s="397" t="s">
        <v>21</v>
      </c>
      <c r="K55" s="397" t="s">
        <v>21</v>
      </c>
      <c r="L55" s="397" t="s">
        <v>21</v>
      </c>
      <c r="M55" s="820"/>
      <c r="N55" s="397" t="s">
        <v>21</v>
      </c>
      <c r="O55" s="397" t="s">
        <v>21</v>
      </c>
      <c r="P55" s="397" t="s">
        <v>21</v>
      </c>
      <c r="Q55" s="64" t="s">
        <v>21</v>
      </c>
      <c r="R55" s="64" t="s">
        <v>21</v>
      </c>
      <c r="S55" s="64" t="s">
        <v>21</v>
      </c>
      <c r="T55" s="64" t="s">
        <v>21</v>
      </c>
      <c r="U55" s="64" t="s">
        <v>21</v>
      </c>
      <c r="V55" s="64" t="s">
        <v>21</v>
      </c>
      <c r="W55" s="64" t="s">
        <v>21</v>
      </c>
      <c r="X55" s="64" t="s">
        <v>21</v>
      </c>
      <c r="Y55" s="64" t="s">
        <v>21</v>
      </c>
      <c r="Z55" s="397" t="s">
        <v>21</v>
      </c>
      <c r="AA55" s="820"/>
      <c r="AB55" s="397" t="s">
        <v>21</v>
      </c>
      <c r="AC55" s="397" t="s">
        <v>21</v>
      </c>
      <c r="AD55" s="397" t="s">
        <v>21</v>
      </c>
      <c r="AE55" s="397" t="s">
        <v>21</v>
      </c>
      <c r="AF55" s="397" t="s">
        <v>21</v>
      </c>
      <c r="AG55" s="397" t="s">
        <v>21</v>
      </c>
    </row>
    <row r="56" spans="1:33">
      <c r="A56" s="397" t="s">
        <v>21</v>
      </c>
      <c r="B56" s="397" t="s">
        <v>21</v>
      </c>
      <c r="C56" s="397" t="s">
        <v>21</v>
      </c>
      <c r="D56" s="397"/>
      <c r="E56" s="820"/>
      <c r="F56" s="64"/>
      <c r="G56" s="820"/>
      <c r="J56" s="397" t="s">
        <v>21</v>
      </c>
      <c r="K56" s="397" t="s">
        <v>21</v>
      </c>
      <c r="L56" s="397" t="s">
        <v>21</v>
      </c>
      <c r="M56" s="820"/>
      <c r="N56" s="397" t="s">
        <v>21</v>
      </c>
      <c r="O56" s="397" t="s">
        <v>21</v>
      </c>
      <c r="P56" s="397" t="s">
        <v>21</v>
      </c>
      <c r="Q56" s="64" t="s">
        <v>21</v>
      </c>
      <c r="R56" s="64" t="s">
        <v>21</v>
      </c>
      <c r="S56" s="64" t="s">
        <v>21</v>
      </c>
      <c r="T56" s="64" t="s">
        <v>21</v>
      </c>
      <c r="U56" s="64" t="s">
        <v>21</v>
      </c>
      <c r="V56" s="64" t="s">
        <v>21</v>
      </c>
      <c r="W56" s="64" t="s">
        <v>21</v>
      </c>
      <c r="X56" s="64" t="s">
        <v>21</v>
      </c>
      <c r="Y56" s="64" t="s">
        <v>21</v>
      </c>
      <c r="Z56" s="397" t="s">
        <v>21</v>
      </c>
      <c r="AA56" s="820"/>
      <c r="AB56" s="397" t="s">
        <v>21</v>
      </c>
      <c r="AC56" s="397" t="s">
        <v>21</v>
      </c>
      <c r="AD56" s="397" t="s">
        <v>21</v>
      </c>
      <c r="AE56" s="397" t="s">
        <v>21</v>
      </c>
      <c r="AF56" s="397" t="s">
        <v>21</v>
      </c>
      <c r="AG56" s="397" t="s">
        <v>21</v>
      </c>
    </row>
    <row r="57" spans="1:33">
      <c r="A57" s="397" t="s">
        <v>21</v>
      </c>
      <c r="B57" s="397" t="s">
        <v>21</v>
      </c>
      <c r="C57" s="397" t="s">
        <v>21</v>
      </c>
      <c r="D57" s="397"/>
      <c r="E57" s="820"/>
      <c r="F57" s="64"/>
      <c r="G57" s="820"/>
      <c r="J57" s="397" t="s">
        <v>21</v>
      </c>
      <c r="K57" s="397" t="s">
        <v>21</v>
      </c>
      <c r="L57" s="397" t="s">
        <v>21</v>
      </c>
      <c r="M57" s="820"/>
      <c r="N57" s="397" t="s">
        <v>21</v>
      </c>
      <c r="O57" s="397" t="s">
        <v>21</v>
      </c>
      <c r="P57" s="397" t="s">
        <v>21</v>
      </c>
      <c r="Q57" s="64" t="s">
        <v>21</v>
      </c>
      <c r="R57" s="64" t="s">
        <v>21</v>
      </c>
      <c r="S57" s="64" t="s">
        <v>21</v>
      </c>
      <c r="T57" s="64" t="s">
        <v>21</v>
      </c>
      <c r="U57" s="64" t="s">
        <v>21</v>
      </c>
      <c r="V57" s="64" t="s">
        <v>21</v>
      </c>
      <c r="W57" s="64" t="s">
        <v>21</v>
      </c>
      <c r="X57" s="64" t="s">
        <v>21</v>
      </c>
      <c r="Y57" s="64" t="s">
        <v>21</v>
      </c>
      <c r="Z57" s="397" t="s">
        <v>21</v>
      </c>
      <c r="AA57" s="820"/>
      <c r="AB57" s="397" t="s">
        <v>21</v>
      </c>
      <c r="AC57" s="397" t="s">
        <v>21</v>
      </c>
      <c r="AD57" s="397" t="s">
        <v>21</v>
      </c>
      <c r="AE57" s="397" t="s">
        <v>21</v>
      </c>
      <c r="AF57" s="397" t="s">
        <v>21</v>
      </c>
      <c r="AG57" s="397" t="s">
        <v>21</v>
      </c>
    </row>
    <row r="58" spans="1:33">
      <c r="A58" s="397" t="s">
        <v>21</v>
      </c>
      <c r="B58" s="397" t="s">
        <v>21</v>
      </c>
      <c r="C58" s="397" t="s">
        <v>21</v>
      </c>
      <c r="D58" s="397"/>
      <c r="E58" s="820"/>
      <c r="F58" s="64"/>
      <c r="G58" s="820"/>
      <c r="J58" s="397" t="s">
        <v>21</v>
      </c>
      <c r="K58" s="397" t="s">
        <v>21</v>
      </c>
      <c r="L58" s="397" t="s">
        <v>21</v>
      </c>
      <c r="M58" s="820"/>
      <c r="N58" s="397" t="s">
        <v>21</v>
      </c>
      <c r="O58" s="397" t="s">
        <v>21</v>
      </c>
      <c r="P58" s="397" t="s">
        <v>21</v>
      </c>
      <c r="Q58" s="64" t="s">
        <v>21</v>
      </c>
      <c r="R58" s="64" t="s">
        <v>21</v>
      </c>
      <c r="S58" s="64" t="s">
        <v>21</v>
      </c>
      <c r="T58" s="64" t="s">
        <v>21</v>
      </c>
      <c r="U58" s="64" t="s">
        <v>21</v>
      </c>
      <c r="V58" s="64" t="s">
        <v>21</v>
      </c>
      <c r="W58" s="64" t="s">
        <v>21</v>
      </c>
      <c r="X58" s="64" t="s">
        <v>21</v>
      </c>
      <c r="Y58" s="64" t="s">
        <v>21</v>
      </c>
      <c r="Z58" s="397" t="s">
        <v>21</v>
      </c>
      <c r="AA58" s="820"/>
      <c r="AB58" s="397" t="s">
        <v>21</v>
      </c>
      <c r="AC58" s="397" t="s">
        <v>21</v>
      </c>
      <c r="AD58" s="397" t="s">
        <v>21</v>
      </c>
      <c r="AE58" s="397" t="s">
        <v>21</v>
      </c>
      <c r="AF58" s="397" t="s">
        <v>21</v>
      </c>
      <c r="AG58" s="397" t="s">
        <v>21</v>
      </c>
    </row>
    <row r="59" spans="1:33">
      <c r="A59" s="397" t="s">
        <v>21</v>
      </c>
      <c r="B59" s="397" t="s">
        <v>21</v>
      </c>
      <c r="C59" s="397" t="s">
        <v>21</v>
      </c>
      <c r="D59" s="397"/>
      <c r="E59" s="820"/>
      <c r="F59" s="64"/>
      <c r="G59" s="820"/>
      <c r="J59" s="397" t="s">
        <v>21</v>
      </c>
      <c r="K59" s="397" t="s">
        <v>21</v>
      </c>
      <c r="L59" s="397" t="s">
        <v>21</v>
      </c>
      <c r="M59" s="820"/>
      <c r="N59" s="397" t="s">
        <v>21</v>
      </c>
      <c r="O59" s="397" t="s">
        <v>21</v>
      </c>
      <c r="P59" s="397" t="s">
        <v>21</v>
      </c>
      <c r="Q59" s="64" t="s">
        <v>21</v>
      </c>
      <c r="R59" s="64" t="s">
        <v>21</v>
      </c>
      <c r="S59" s="64" t="s">
        <v>21</v>
      </c>
      <c r="T59" s="64" t="s">
        <v>21</v>
      </c>
      <c r="U59" s="64" t="s">
        <v>21</v>
      </c>
      <c r="V59" s="64" t="s">
        <v>21</v>
      </c>
      <c r="W59" s="64" t="s">
        <v>21</v>
      </c>
      <c r="X59" s="64" t="s">
        <v>21</v>
      </c>
      <c r="Y59" s="64" t="s">
        <v>21</v>
      </c>
      <c r="Z59" s="397" t="s">
        <v>21</v>
      </c>
      <c r="AA59" s="820"/>
      <c r="AB59" s="397" t="s">
        <v>21</v>
      </c>
      <c r="AC59" s="397" t="s">
        <v>21</v>
      </c>
      <c r="AD59" s="397" t="s">
        <v>21</v>
      </c>
      <c r="AE59" s="397" t="s">
        <v>21</v>
      </c>
      <c r="AF59" s="397" t="s">
        <v>21</v>
      </c>
      <c r="AG59" s="397" t="s">
        <v>21</v>
      </c>
    </row>
    <row r="60" spans="1:33">
      <c r="A60" s="397" t="s">
        <v>21</v>
      </c>
      <c r="B60" s="397" t="s">
        <v>21</v>
      </c>
      <c r="C60" s="397" t="s">
        <v>21</v>
      </c>
      <c r="D60" s="397"/>
      <c r="E60" s="820"/>
      <c r="F60" s="64"/>
      <c r="G60" s="820"/>
      <c r="J60" s="397" t="s">
        <v>21</v>
      </c>
      <c r="K60" s="397" t="s">
        <v>21</v>
      </c>
      <c r="L60" s="397" t="s">
        <v>21</v>
      </c>
      <c r="M60" s="820"/>
      <c r="N60" s="397" t="s">
        <v>21</v>
      </c>
      <c r="O60" s="397" t="s">
        <v>21</v>
      </c>
      <c r="P60" s="397" t="s">
        <v>21</v>
      </c>
      <c r="Q60" s="64" t="s">
        <v>21</v>
      </c>
      <c r="R60" s="64" t="s">
        <v>21</v>
      </c>
      <c r="S60" s="64" t="s">
        <v>21</v>
      </c>
      <c r="T60" s="64" t="s">
        <v>21</v>
      </c>
      <c r="U60" s="64" t="s">
        <v>21</v>
      </c>
      <c r="V60" s="64" t="s">
        <v>21</v>
      </c>
      <c r="W60" s="64" t="s">
        <v>21</v>
      </c>
      <c r="X60" s="64" t="s">
        <v>21</v>
      </c>
      <c r="Y60" s="64" t="s">
        <v>21</v>
      </c>
      <c r="Z60" s="397" t="s">
        <v>21</v>
      </c>
      <c r="AA60" s="820"/>
      <c r="AB60" s="397" t="s">
        <v>21</v>
      </c>
      <c r="AC60" s="397" t="s">
        <v>21</v>
      </c>
      <c r="AD60" s="397" t="s">
        <v>21</v>
      </c>
      <c r="AE60" s="397" t="s">
        <v>21</v>
      </c>
      <c r="AF60" s="397" t="s">
        <v>21</v>
      </c>
      <c r="AG60" s="397" t="s">
        <v>21</v>
      </c>
    </row>
    <row r="61" spans="1:33">
      <c r="A61" s="397" t="s">
        <v>21</v>
      </c>
      <c r="B61" s="397" t="s">
        <v>21</v>
      </c>
      <c r="C61" s="397" t="s">
        <v>21</v>
      </c>
      <c r="D61" s="397"/>
      <c r="E61" s="820"/>
      <c r="F61" s="64"/>
      <c r="G61" s="820"/>
      <c r="J61" s="397" t="s">
        <v>21</v>
      </c>
      <c r="K61" s="397" t="s">
        <v>21</v>
      </c>
      <c r="L61" s="397" t="s">
        <v>21</v>
      </c>
      <c r="M61" s="820"/>
      <c r="N61" s="397" t="s">
        <v>21</v>
      </c>
      <c r="O61" s="397" t="s">
        <v>21</v>
      </c>
      <c r="P61" s="397" t="s">
        <v>21</v>
      </c>
      <c r="Q61" s="64" t="s">
        <v>21</v>
      </c>
      <c r="R61" s="64" t="s">
        <v>21</v>
      </c>
      <c r="S61" s="64" t="s">
        <v>21</v>
      </c>
      <c r="T61" s="64" t="s">
        <v>21</v>
      </c>
      <c r="U61" s="64" t="s">
        <v>21</v>
      </c>
      <c r="V61" s="64" t="s">
        <v>21</v>
      </c>
      <c r="W61" s="64" t="s">
        <v>21</v>
      </c>
      <c r="X61" s="64" t="s">
        <v>21</v>
      </c>
      <c r="Y61" s="64" t="s">
        <v>21</v>
      </c>
      <c r="Z61" s="397" t="s">
        <v>21</v>
      </c>
      <c r="AA61" s="820"/>
      <c r="AB61" s="397" t="s">
        <v>21</v>
      </c>
      <c r="AC61" s="397" t="s">
        <v>21</v>
      </c>
      <c r="AD61" s="397" t="s">
        <v>21</v>
      </c>
      <c r="AE61" s="397" t="s">
        <v>21</v>
      </c>
      <c r="AF61" s="397" t="s">
        <v>21</v>
      </c>
      <c r="AG61" s="397" t="s">
        <v>21</v>
      </c>
    </row>
    <row r="62" spans="1:33">
      <c r="A62" s="397" t="s">
        <v>21</v>
      </c>
      <c r="B62" s="397" t="s">
        <v>21</v>
      </c>
      <c r="C62" s="397" t="s">
        <v>21</v>
      </c>
      <c r="D62" s="397"/>
      <c r="E62" s="820"/>
      <c r="F62" s="64"/>
      <c r="G62" s="820"/>
      <c r="J62" s="397" t="s">
        <v>21</v>
      </c>
      <c r="K62" s="397" t="s">
        <v>21</v>
      </c>
      <c r="L62" s="397" t="s">
        <v>21</v>
      </c>
      <c r="M62" s="820"/>
      <c r="N62" s="397" t="s">
        <v>21</v>
      </c>
      <c r="O62" s="397" t="s">
        <v>21</v>
      </c>
      <c r="P62" s="397" t="s">
        <v>21</v>
      </c>
      <c r="Q62" s="64" t="s">
        <v>21</v>
      </c>
      <c r="R62" s="64" t="s">
        <v>21</v>
      </c>
      <c r="S62" s="64" t="s">
        <v>21</v>
      </c>
      <c r="T62" s="64" t="s">
        <v>21</v>
      </c>
      <c r="U62" s="64" t="s">
        <v>21</v>
      </c>
      <c r="V62" s="64" t="s">
        <v>21</v>
      </c>
      <c r="W62" s="64" t="s">
        <v>21</v>
      </c>
      <c r="X62" s="64" t="s">
        <v>21</v>
      </c>
      <c r="Y62" s="64" t="s">
        <v>21</v>
      </c>
      <c r="Z62" s="397" t="s">
        <v>21</v>
      </c>
      <c r="AA62" s="820"/>
      <c r="AB62" s="397" t="s">
        <v>21</v>
      </c>
      <c r="AC62" s="397" t="s">
        <v>21</v>
      </c>
      <c r="AD62" s="397" t="s">
        <v>21</v>
      </c>
      <c r="AE62" s="397" t="s">
        <v>21</v>
      </c>
      <c r="AF62" s="397" t="s">
        <v>21</v>
      </c>
      <c r="AG62" s="397" t="s">
        <v>21</v>
      </c>
    </row>
    <row r="63" spans="1:33">
      <c r="A63" s="397" t="s">
        <v>21</v>
      </c>
      <c r="B63" s="397" t="s">
        <v>21</v>
      </c>
      <c r="C63" s="397" t="s">
        <v>21</v>
      </c>
      <c r="D63" s="397"/>
      <c r="E63" s="820"/>
      <c r="F63" s="64"/>
      <c r="G63" s="820"/>
      <c r="J63" s="397" t="s">
        <v>21</v>
      </c>
      <c r="K63" s="397" t="s">
        <v>21</v>
      </c>
      <c r="L63" s="397" t="s">
        <v>21</v>
      </c>
      <c r="M63" s="820"/>
      <c r="N63" s="397" t="s">
        <v>21</v>
      </c>
      <c r="O63" s="397" t="s">
        <v>21</v>
      </c>
      <c r="P63" s="397" t="s">
        <v>21</v>
      </c>
      <c r="Q63" s="64" t="s">
        <v>21</v>
      </c>
      <c r="R63" s="64" t="s">
        <v>21</v>
      </c>
      <c r="S63" s="64" t="s">
        <v>21</v>
      </c>
      <c r="T63" s="64" t="s">
        <v>21</v>
      </c>
      <c r="U63" s="64" t="s">
        <v>21</v>
      </c>
      <c r="V63" s="64" t="s">
        <v>21</v>
      </c>
      <c r="W63" s="64" t="s">
        <v>21</v>
      </c>
      <c r="X63" s="64" t="s">
        <v>21</v>
      </c>
      <c r="Y63" s="64" t="s">
        <v>21</v>
      </c>
      <c r="Z63" s="397" t="s">
        <v>21</v>
      </c>
      <c r="AA63" s="820"/>
      <c r="AB63" s="397" t="s">
        <v>21</v>
      </c>
      <c r="AC63" s="397" t="s">
        <v>21</v>
      </c>
      <c r="AD63" s="397" t="s">
        <v>21</v>
      </c>
      <c r="AE63" s="397" t="s">
        <v>21</v>
      </c>
      <c r="AF63" s="397" t="s">
        <v>21</v>
      </c>
      <c r="AG63" s="397" t="s">
        <v>21</v>
      </c>
    </row>
    <row r="64" spans="1:33">
      <c r="A64" s="397" t="s">
        <v>21</v>
      </c>
      <c r="B64" s="397" t="s">
        <v>21</v>
      </c>
      <c r="C64" s="397" t="s">
        <v>21</v>
      </c>
      <c r="D64" s="397"/>
      <c r="E64" s="820"/>
      <c r="F64" s="64"/>
      <c r="G64" s="820"/>
      <c r="J64" s="397" t="s">
        <v>21</v>
      </c>
      <c r="K64" s="397" t="s">
        <v>21</v>
      </c>
      <c r="L64" s="397" t="s">
        <v>21</v>
      </c>
      <c r="M64" s="820"/>
      <c r="N64" s="397" t="s">
        <v>21</v>
      </c>
      <c r="O64" s="397" t="s">
        <v>21</v>
      </c>
      <c r="P64" s="397" t="s">
        <v>21</v>
      </c>
      <c r="Q64" s="64" t="s">
        <v>21</v>
      </c>
      <c r="R64" s="64" t="s">
        <v>21</v>
      </c>
      <c r="S64" s="64" t="s">
        <v>21</v>
      </c>
      <c r="T64" s="64" t="s">
        <v>21</v>
      </c>
      <c r="U64" s="64" t="s">
        <v>21</v>
      </c>
      <c r="V64" s="64" t="s">
        <v>21</v>
      </c>
      <c r="W64" s="64" t="s">
        <v>21</v>
      </c>
      <c r="X64" s="64" t="s">
        <v>21</v>
      </c>
      <c r="Y64" s="64" t="s">
        <v>21</v>
      </c>
      <c r="Z64" s="397" t="s">
        <v>21</v>
      </c>
      <c r="AA64" s="820"/>
      <c r="AB64" s="397" t="s">
        <v>21</v>
      </c>
      <c r="AC64" s="397" t="s">
        <v>21</v>
      </c>
      <c r="AD64" s="397" t="s">
        <v>21</v>
      </c>
      <c r="AE64" s="397" t="s">
        <v>21</v>
      </c>
      <c r="AF64" s="397" t="s">
        <v>21</v>
      </c>
      <c r="AG64" s="397" t="s">
        <v>21</v>
      </c>
    </row>
    <row r="65" spans="1:33">
      <c r="A65" s="397" t="s">
        <v>21</v>
      </c>
      <c r="B65" s="397" t="s">
        <v>21</v>
      </c>
      <c r="C65" s="397" t="s">
        <v>21</v>
      </c>
      <c r="D65" s="397"/>
      <c r="E65" s="820"/>
      <c r="F65" s="64"/>
      <c r="G65" s="820"/>
      <c r="J65" s="397" t="s">
        <v>21</v>
      </c>
      <c r="K65" s="397" t="s">
        <v>21</v>
      </c>
      <c r="L65" s="397" t="s">
        <v>21</v>
      </c>
      <c r="M65" s="820"/>
      <c r="N65" s="397" t="s">
        <v>21</v>
      </c>
      <c r="O65" s="397" t="s">
        <v>21</v>
      </c>
      <c r="P65" s="397" t="s">
        <v>21</v>
      </c>
      <c r="Q65" s="64" t="s">
        <v>21</v>
      </c>
      <c r="R65" s="64" t="s">
        <v>21</v>
      </c>
      <c r="S65" s="64" t="s">
        <v>21</v>
      </c>
      <c r="T65" s="64" t="s">
        <v>21</v>
      </c>
      <c r="U65" s="64" t="s">
        <v>21</v>
      </c>
      <c r="V65" s="64" t="s">
        <v>21</v>
      </c>
      <c r="W65" s="64" t="s">
        <v>21</v>
      </c>
      <c r="X65" s="64" t="s">
        <v>21</v>
      </c>
      <c r="Y65" s="64" t="s">
        <v>21</v>
      </c>
      <c r="Z65" s="397" t="s">
        <v>21</v>
      </c>
      <c r="AA65" s="820"/>
      <c r="AB65" s="397" t="s">
        <v>21</v>
      </c>
      <c r="AC65" s="397" t="s">
        <v>21</v>
      </c>
      <c r="AD65" s="397" t="s">
        <v>21</v>
      </c>
      <c r="AE65" s="397" t="s">
        <v>21</v>
      </c>
      <c r="AF65" s="397" t="s">
        <v>21</v>
      </c>
      <c r="AG65" s="397" t="s">
        <v>21</v>
      </c>
    </row>
    <row r="66" spans="1:33">
      <c r="A66" s="397" t="s">
        <v>21</v>
      </c>
      <c r="B66" s="397" t="s">
        <v>21</v>
      </c>
      <c r="C66" s="397" t="s">
        <v>21</v>
      </c>
      <c r="D66" s="397"/>
      <c r="E66" s="820"/>
      <c r="F66" s="64"/>
      <c r="G66" s="820"/>
      <c r="J66" s="397" t="s">
        <v>21</v>
      </c>
      <c r="K66" s="397" t="s">
        <v>21</v>
      </c>
      <c r="L66" s="397" t="s">
        <v>21</v>
      </c>
      <c r="M66" s="820"/>
      <c r="N66" s="397" t="s">
        <v>21</v>
      </c>
      <c r="O66" s="397" t="s">
        <v>21</v>
      </c>
      <c r="P66" s="397" t="s">
        <v>21</v>
      </c>
      <c r="Q66" s="64" t="s">
        <v>21</v>
      </c>
      <c r="R66" s="64" t="s">
        <v>21</v>
      </c>
      <c r="S66" s="64" t="s">
        <v>21</v>
      </c>
      <c r="T66" s="64" t="s">
        <v>21</v>
      </c>
      <c r="U66" s="64" t="s">
        <v>21</v>
      </c>
      <c r="V66" s="64" t="s">
        <v>21</v>
      </c>
      <c r="W66" s="64" t="s">
        <v>21</v>
      </c>
      <c r="X66" s="64" t="s">
        <v>21</v>
      </c>
      <c r="Y66" s="64" t="s">
        <v>21</v>
      </c>
      <c r="Z66" s="397" t="s">
        <v>21</v>
      </c>
      <c r="AA66" s="820"/>
      <c r="AB66" s="397" t="s">
        <v>21</v>
      </c>
      <c r="AC66" s="397" t="s">
        <v>21</v>
      </c>
      <c r="AD66" s="397" t="s">
        <v>21</v>
      </c>
      <c r="AE66" s="397" t="s">
        <v>21</v>
      </c>
      <c r="AF66" s="397" t="s">
        <v>21</v>
      </c>
      <c r="AG66" s="397" t="s">
        <v>21</v>
      </c>
    </row>
    <row r="67" spans="1:33">
      <c r="A67" s="397" t="s">
        <v>21</v>
      </c>
      <c r="B67" s="397" t="s">
        <v>21</v>
      </c>
      <c r="C67" s="397" t="s">
        <v>21</v>
      </c>
      <c r="D67" s="397"/>
      <c r="E67" s="820"/>
      <c r="F67" s="64"/>
      <c r="G67" s="820"/>
      <c r="J67" s="397" t="s">
        <v>21</v>
      </c>
      <c r="K67" s="397" t="s">
        <v>21</v>
      </c>
      <c r="L67" s="397" t="s">
        <v>21</v>
      </c>
      <c r="M67" s="820"/>
      <c r="N67" s="397" t="s">
        <v>21</v>
      </c>
      <c r="O67" s="397" t="s">
        <v>21</v>
      </c>
      <c r="P67" s="397" t="s">
        <v>21</v>
      </c>
      <c r="Q67" s="64" t="s">
        <v>21</v>
      </c>
      <c r="R67" s="64" t="s">
        <v>21</v>
      </c>
      <c r="S67" s="64" t="s">
        <v>21</v>
      </c>
      <c r="T67" s="64" t="s">
        <v>21</v>
      </c>
      <c r="U67" s="64" t="s">
        <v>21</v>
      </c>
      <c r="V67" s="64" t="s">
        <v>21</v>
      </c>
      <c r="W67" s="64" t="s">
        <v>21</v>
      </c>
      <c r="X67" s="64" t="s">
        <v>21</v>
      </c>
      <c r="Y67" s="64" t="s">
        <v>21</v>
      </c>
      <c r="Z67" s="397" t="s">
        <v>21</v>
      </c>
      <c r="AA67" s="820"/>
      <c r="AB67" s="397" t="s">
        <v>21</v>
      </c>
      <c r="AC67" s="397" t="s">
        <v>21</v>
      </c>
      <c r="AD67" s="397" t="s">
        <v>21</v>
      </c>
      <c r="AE67" s="397" t="s">
        <v>21</v>
      </c>
      <c r="AF67" s="397" t="s">
        <v>21</v>
      </c>
      <c r="AG67" s="397" t="s">
        <v>21</v>
      </c>
    </row>
    <row r="68" spans="1:33">
      <c r="A68" s="397" t="s">
        <v>21</v>
      </c>
      <c r="B68" s="397" t="s">
        <v>21</v>
      </c>
      <c r="C68" s="397" t="s">
        <v>21</v>
      </c>
      <c r="D68" s="397"/>
      <c r="E68" s="820"/>
      <c r="F68" s="64"/>
      <c r="G68" s="820"/>
      <c r="J68" s="397" t="s">
        <v>21</v>
      </c>
      <c r="K68" s="397" t="s">
        <v>21</v>
      </c>
      <c r="L68" s="397" t="s">
        <v>21</v>
      </c>
      <c r="M68" s="820"/>
      <c r="N68" s="397" t="s">
        <v>21</v>
      </c>
      <c r="O68" s="397" t="s">
        <v>21</v>
      </c>
      <c r="P68" s="397" t="s">
        <v>21</v>
      </c>
      <c r="Q68" s="64" t="s">
        <v>21</v>
      </c>
      <c r="R68" s="64" t="s">
        <v>21</v>
      </c>
      <c r="S68" s="64" t="s">
        <v>21</v>
      </c>
      <c r="T68" s="64" t="s">
        <v>21</v>
      </c>
      <c r="U68" s="64" t="s">
        <v>21</v>
      </c>
      <c r="V68" s="64" t="s">
        <v>21</v>
      </c>
      <c r="W68" s="64" t="s">
        <v>21</v>
      </c>
      <c r="X68" s="64" t="s">
        <v>21</v>
      </c>
      <c r="Y68" s="64" t="s">
        <v>21</v>
      </c>
      <c r="Z68" s="397" t="s">
        <v>21</v>
      </c>
      <c r="AA68" s="820"/>
      <c r="AB68" s="397" t="s">
        <v>21</v>
      </c>
      <c r="AC68" s="397" t="s">
        <v>21</v>
      </c>
      <c r="AD68" s="397" t="s">
        <v>21</v>
      </c>
      <c r="AE68" s="397" t="s">
        <v>21</v>
      </c>
      <c r="AF68" s="397" t="s">
        <v>21</v>
      </c>
      <c r="AG68" s="397" t="s">
        <v>21</v>
      </c>
    </row>
    <row r="69" spans="1:33">
      <c r="A69" s="397" t="s">
        <v>21</v>
      </c>
      <c r="B69" s="397" t="s">
        <v>21</v>
      </c>
      <c r="C69" s="397" t="s">
        <v>21</v>
      </c>
      <c r="D69" s="397"/>
      <c r="E69" s="820"/>
      <c r="F69" s="64"/>
      <c r="G69" s="820"/>
      <c r="J69" s="397" t="s">
        <v>21</v>
      </c>
      <c r="K69" s="397" t="s">
        <v>21</v>
      </c>
      <c r="L69" s="397" t="s">
        <v>21</v>
      </c>
      <c r="M69" s="820"/>
      <c r="N69" s="397" t="s">
        <v>21</v>
      </c>
      <c r="O69" s="397" t="s">
        <v>21</v>
      </c>
      <c r="P69" s="397" t="s">
        <v>21</v>
      </c>
      <c r="Q69" s="64" t="s">
        <v>21</v>
      </c>
      <c r="R69" s="64" t="s">
        <v>21</v>
      </c>
      <c r="S69" s="64" t="s">
        <v>21</v>
      </c>
      <c r="T69" s="64" t="s">
        <v>21</v>
      </c>
      <c r="U69" s="64" t="s">
        <v>21</v>
      </c>
      <c r="V69" s="64" t="s">
        <v>21</v>
      </c>
      <c r="W69" s="64" t="s">
        <v>21</v>
      </c>
      <c r="X69" s="64" t="s">
        <v>21</v>
      </c>
      <c r="Y69" s="64" t="s">
        <v>21</v>
      </c>
      <c r="Z69" s="397" t="s">
        <v>21</v>
      </c>
      <c r="AA69" s="820"/>
      <c r="AB69" s="397" t="s">
        <v>21</v>
      </c>
      <c r="AC69" s="397" t="s">
        <v>21</v>
      </c>
      <c r="AD69" s="397" t="s">
        <v>21</v>
      </c>
      <c r="AE69" s="397" t="s">
        <v>21</v>
      </c>
      <c r="AF69" s="397" t="s">
        <v>21</v>
      </c>
      <c r="AG69" s="397" t="s">
        <v>21</v>
      </c>
    </row>
    <row r="70" spans="1:33">
      <c r="A70" s="397" t="s">
        <v>21</v>
      </c>
      <c r="B70" s="397" t="s">
        <v>21</v>
      </c>
      <c r="C70" s="397" t="s">
        <v>21</v>
      </c>
      <c r="D70" s="397"/>
      <c r="E70" s="820"/>
      <c r="F70" s="64"/>
      <c r="G70" s="820"/>
      <c r="J70" s="397" t="s">
        <v>21</v>
      </c>
      <c r="K70" s="397" t="s">
        <v>21</v>
      </c>
      <c r="L70" s="397" t="s">
        <v>21</v>
      </c>
      <c r="M70" s="820"/>
      <c r="N70" s="397" t="s">
        <v>21</v>
      </c>
      <c r="O70" s="397" t="s">
        <v>21</v>
      </c>
      <c r="P70" s="397" t="s">
        <v>21</v>
      </c>
      <c r="Q70" s="64" t="s">
        <v>21</v>
      </c>
      <c r="R70" s="64" t="s">
        <v>21</v>
      </c>
      <c r="S70" s="64" t="s">
        <v>21</v>
      </c>
      <c r="T70" s="64" t="s">
        <v>21</v>
      </c>
      <c r="U70" s="64" t="s">
        <v>21</v>
      </c>
      <c r="V70" s="64" t="s">
        <v>21</v>
      </c>
      <c r="W70" s="64" t="s">
        <v>21</v>
      </c>
      <c r="X70" s="64" t="s">
        <v>21</v>
      </c>
      <c r="Y70" s="64" t="s">
        <v>21</v>
      </c>
      <c r="Z70" s="397" t="s">
        <v>21</v>
      </c>
      <c r="AA70" s="820"/>
      <c r="AB70" s="397" t="s">
        <v>21</v>
      </c>
      <c r="AC70" s="397" t="s">
        <v>21</v>
      </c>
      <c r="AD70" s="397" t="s">
        <v>21</v>
      </c>
      <c r="AE70" s="397" t="s">
        <v>21</v>
      </c>
      <c r="AF70" s="397" t="s">
        <v>21</v>
      </c>
      <c r="AG70" s="397" t="s">
        <v>21</v>
      </c>
    </row>
    <row r="71" spans="1:33">
      <c r="A71" s="397" t="s">
        <v>21</v>
      </c>
      <c r="B71" s="397" t="s">
        <v>21</v>
      </c>
      <c r="C71" s="397" t="s">
        <v>21</v>
      </c>
      <c r="D71" s="397"/>
      <c r="E71" s="820"/>
      <c r="F71" s="64"/>
      <c r="G71" s="820"/>
      <c r="J71" s="397" t="s">
        <v>21</v>
      </c>
      <c r="K71" s="397" t="s">
        <v>21</v>
      </c>
      <c r="L71" s="397" t="s">
        <v>21</v>
      </c>
      <c r="M71" s="820"/>
      <c r="N71" s="397" t="s">
        <v>21</v>
      </c>
      <c r="O71" s="397" t="s">
        <v>21</v>
      </c>
      <c r="P71" s="397" t="s">
        <v>21</v>
      </c>
      <c r="Q71" s="64" t="s">
        <v>21</v>
      </c>
      <c r="R71" s="64" t="s">
        <v>21</v>
      </c>
      <c r="S71" s="64" t="s">
        <v>21</v>
      </c>
      <c r="T71" s="64" t="s">
        <v>21</v>
      </c>
      <c r="U71" s="64" t="s">
        <v>21</v>
      </c>
      <c r="V71" s="64" t="s">
        <v>21</v>
      </c>
      <c r="W71" s="64" t="s">
        <v>21</v>
      </c>
      <c r="X71" s="64" t="s">
        <v>21</v>
      </c>
      <c r="Y71" s="64" t="s">
        <v>21</v>
      </c>
      <c r="Z71" s="397" t="s">
        <v>21</v>
      </c>
      <c r="AA71" s="820"/>
      <c r="AB71" s="397" t="s">
        <v>21</v>
      </c>
      <c r="AC71" s="397" t="s">
        <v>21</v>
      </c>
      <c r="AD71" s="397" t="s">
        <v>21</v>
      </c>
      <c r="AE71" s="397" t="s">
        <v>21</v>
      </c>
      <c r="AF71" s="397" t="s">
        <v>21</v>
      </c>
      <c r="AG71" s="397" t="s">
        <v>21</v>
      </c>
    </row>
    <row r="72" spans="1:33">
      <c r="A72" s="397" t="s">
        <v>21</v>
      </c>
      <c r="B72" s="397" t="s">
        <v>21</v>
      </c>
      <c r="C72" s="397" t="s">
        <v>21</v>
      </c>
      <c r="D72" s="397"/>
      <c r="E72" s="820"/>
      <c r="F72" s="64"/>
      <c r="G72" s="820"/>
      <c r="J72" s="397" t="s">
        <v>21</v>
      </c>
      <c r="K72" s="397" t="s">
        <v>21</v>
      </c>
      <c r="L72" s="397" t="s">
        <v>21</v>
      </c>
      <c r="M72" s="820"/>
      <c r="N72" s="397" t="s">
        <v>21</v>
      </c>
      <c r="O72" s="397" t="s">
        <v>21</v>
      </c>
      <c r="P72" s="397" t="s">
        <v>21</v>
      </c>
      <c r="Q72" s="64" t="s">
        <v>21</v>
      </c>
      <c r="R72" s="64" t="s">
        <v>21</v>
      </c>
      <c r="S72" s="64" t="s">
        <v>21</v>
      </c>
      <c r="T72" s="64" t="s">
        <v>21</v>
      </c>
      <c r="U72" s="64" t="s">
        <v>21</v>
      </c>
      <c r="V72" s="64" t="s">
        <v>21</v>
      </c>
      <c r="W72" s="64" t="s">
        <v>21</v>
      </c>
      <c r="X72" s="64" t="s">
        <v>21</v>
      </c>
      <c r="Y72" s="64" t="s">
        <v>21</v>
      </c>
      <c r="Z72" s="397" t="s">
        <v>21</v>
      </c>
      <c r="AA72" s="820"/>
      <c r="AB72" s="397" t="s">
        <v>21</v>
      </c>
      <c r="AC72" s="397" t="s">
        <v>21</v>
      </c>
      <c r="AD72" s="397" t="s">
        <v>21</v>
      </c>
      <c r="AE72" s="397" t="s">
        <v>21</v>
      </c>
      <c r="AF72" s="397" t="s">
        <v>21</v>
      </c>
      <c r="AG72" s="397" t="s">
        <v>21</v>
      </c>
    </row>
    <row r="73" spans="1:33">
      <c r="A73" s="397" t="s">
        <v>21</v>
      </c>
      <c r="B73" s="397" t="s">
        <v>21</v>
      </c>
      <c r="C73" s="397" t="s">
        <v>21</v>
      </c>
      <c r="D73" s="397"/>
      <c r="E73" s="820"/>
      <c r="F73" s="64"/>
      <c r="G73" s="820"/>
      <c r="J73" s="397" t="s">
        <v>21</v>
      </c>
      <c r="K73" s="397" t="s">
        <v>21</v>
      </c>
      <c r="L73" s="397" t="s">
        <v>21</v>
      </c>
      <c r="M73" s="820"/>
      <c r="N73" s="397" t="s">
        <v>21</v>
      </c>
      <c r="O73" s="397" t="s">
        <v>21</v>
      </c>
      <c r="P73" s="397" t="s">
        <v>21</v>
      </c>
      <c r="Q73" s="64" t="s">
        <v>21</v>
      </c>
      <c r="R73" s="64" t="s">
        <v>21</v>
      </c>
      <c r="S73" s="64" t="s">
        <v>21</v>
      </c>
      <c r="T73" s="64" t="s">
        <v>21</v>
      </c>
      <c r="U73" s="64" t="s">
        <v>21</v>
      </c>
      <c r="V73" s="64" t="s">
        <v>21</v>
      </c>
      <c r="W73" s="64" t="s">
        <v>21</v>
      </c>
      <c r="X73" s="64" t="s">
        <v>21</v>
      </c>
      <c r="Y73" s="64" t="s">
        <v>21</v>
      </c>
      <c r="Z73" s="397" t="s">
        <v>21</v>
      </c>
      <c r="AA73" s="820"/>
      <c r="AB73" s="397" t="s">
        <v>21</v>
      </c>
      <c r="AC73" s="397" t="s">
        <v>21</v>
      </c>
      <c r="AD73" s="397" t="s">
        <v>21</v>
      </c>
      <c r="AE73" s="397" t="s">
        <v>21</v>
      </c>
      <c r="AF73" s="397" t="s">
        <v>21</v>
      </c>
      <c r="AG73" s="397" t="s">
        <v>21</v>
      </c>
    </row>
    <row r="74" spans="1:33">
      <c r="A74" s="397" t="s">
        <v>21</v>
      </c>
      <c r="B74" s="397" t="s">
        <v>21</v>
      </c>
      <c r="C74" s="397" t="s">
        <v>21</v>
      </c>
      <c r="D74" s="397"/>
      <c r="E74" s="820"/>
      <c r="F74" s="64"/>
      <c r="G74" s="820"/>
      <c r="J74" s="397" t="s">
        <v>21</v>
      </c>
      <c r="K74" s="397" t="s">
        <v>21</v>
      </c>
      <c r="L74" s="397" t="s">
        <v>21</v>
      </c>
      <c r="M74" s="820"/>
      <c r="N74" s="397" t="s">
        <v>21</v>
      </c>
      <c r="O74" s="397" t="s">
        <v>21</v>
      </c>
      <c r="P74" s="397" t="s">
        <v>21</v>
      </c>
      <c r="Q74" s="64" t="s">
        <v>21</v>
      </c>
      <c r="R74" s="64" t="s">
        <v>21</v>
      </c>
      <c r="S74" s="64" t="s">
        <v>21</v>
      </c>
      <c r="T74" s="64" t="s">
        <v>21</v>
      </c>
      <c r="U74" s="64" t="s">
        <v>21</v>
      </c>
      <c r="V74" s="64" t="s">
        <v>21</v>
      </c>
      <c r="W74" s="64" t="s">
        <v>21</v>
      </c>
      <c r="X74" s="64" t="s">
        <v>21</v>
      </c>
      <c r="Y74" s="64" t="s">
        <v>21</v>
      </c>
      <c r="Z74" s="397" t="s">
        <v>21</v>
      </c>
      <c r="AA74" s="820"/>
      <c r="AB74" s="397" t="s">
        <v>21</v>
      </c>
      <c r="AC74" s="397" t="s">
        <v>21</v>
      </c>
      <c r="AD74" s="397" t="s">
        <v>21</v>
      </c>
      <c r="AE74" s="397" t="s">
        <v>21</v>
      </c>
      <c r="AF74" s="397" t="s">
        <v>21</v>
      </c>
      <c r="AG74" s="397" t="s">
        <v>21</v>
      </c>
    </row>
    <row r="75" spans="1:33">
      <c r="A75" s="397" t="s">
        <v>21</v>
      </c>
      <c r="B75" s="397" t="s">
        <v>21</v>
      </c>
      <c r="C75" s="397" t="s">
        <v>21</v>
      </c>
      <c r="D75" s="397"/>
      <c r="E75" s="820"/>
      <c r="F75" s="64"/>
      <c r="G75" s="820"/>
      <c r="J75" s="397" t="s">
        <v>21</v>
      </c>
      <c r="K75" s="397" t="s">
        <v>21</v>
      </c>
      <c r="L75" s="397" t="s">
        <v>21</v>
      </c>
      <c r="M75" s="820"/>
      <c r="N75" s="397" t="s">
        <v>21</v>
      </c>
      <c r="O75" s="397" t="s">
        <v>21</v>
      </c>
      <c r="P75" s="397" t="s">
        <v>21</v>
      </c>
      <c r="Q75" s="64" t="s">
        <v>21</v>
      </c>
      <c r="R75" s="64" t="s">
        <v>21</v>
      </c>
      <c r="S75" s="64" t="s">
        <v>21</v>
      </c>
      <c r="T75" s="64" t="s">
        <v>21</v>
      </c>
      <c r="U75" s="64" t="s">
        <v>21</v>
      </c>
      <c r="V75" s="64" t="s">
        <v>21</v>
      </c>
      <c r="W75" s="64" t="s">
        <v>21</v>
      </c>
      <c r="X75" s="64" t="s">
        <v>21</v>
      </c>
      <c r="Y75" s="64" t="s">
        <v>21</v>
      </c>
      <c r="Z75" s="397" t="s">
        <v>21</v>
      </c>
      <c r="AA75" s="820"/>
      <c r="AB75" s="397" t="s">
        <v>21</v>
      </c>
      <c r="AC75" s="397" t="s">
        <v>21</v>
      </c>
      <c r="AD75" s="397" t="s">
        <v>21</v>
      </c>
      <c r="AE75" s="397" t="s">
        <v>21</v>
      </c>
      <c r="AF75" s="397" t="s">
        <v>21</v>
      </c>
      <c r="AG75" s="397" t="s">
        <v>21</v>
      </c>
    </row>
    <row r="76" spans="1:33">
      <c r="A76" s="397" t="s">
        <v>21</v>
      </c>
      <c r="B76" s="397" t="s">
        <v>21</v>
      </c>
      <c r="C76" s="397" t="s">
        <v>21</v>
      </c>
      <c r="D76" s="397"/>
      <c r="E76" s="820"/>
      <c r="F76" s="64"/>
      <c r="G76" s="820"/>
      <c r="J76" s="397" t="s">
        <v>21</v>
      </c>
      <c r="K76" s="397" t="s">
        <v>21</v>
      </c>
      <c r="L76" s="397" t="s">
        <v>21</v>
      </c>
      <c r="M76" s="820"/>
      <c r="N76" s="397" t="s">
        <v>21</v>
      </c>
      <c r="O76" s="397" t="s">
        <v>21</v>
      </c>
      <c r="P76" s="397" t="s">
        <v>21</v>
      </c>
      <c r="Q76" s="64" t="s">
        <v>21</v>
      </c>
      <c r="R76" s="64" t="s">
        <v>21</v>
      </c>
      <c r="S76" s="64" t="s">
        <v>21</v>
      </c>
      <c r="T76" s="64" t="s">
        <v>21</v>
      </c>
      <c r="U76" s="64" t="s">
        <v>21</v>
      </c>
      <c r="V76" s="64" t="s">
        <v>21</v>
      </c>
      <c r="W76" s="64" t="s">
        <v>21</v>
      </c>
      <c r="X76" s="64" t="s">
        <v>21</v>
      </c>
      <c r="Y76" s="64" t="s">
        <v>21</v>
      </c>
      <c r="Z76" s="397" t="s">
        <v>21</v>
      </c>
      <c r="AA76" s="820"/>
      <c r="AB76" s="397" t="s">
        <v>21</v>
      </c>
      <c r="AC76" s="397" t="s">
        <v>21</v>
      </c>
      <c r="AD76" s="397" t="s">
        <v>21</v>
      </c>
      <c r="AE76" s="397" t="s">
        <v>21</v>
      </c>
      <c r="AF76" s="397" t="s">
        <v>21</v>
      </c>
      <c r="AG76" s="397" t="s">
        <v>21</v>
      </c>
    </row>
    <row r="77" spans="1:33">
      <c r="A77" s="397" t="s">
        <v>21</v>
      </c>
      <c r="B77" s="397" t="s">
        <v>21</v>
      </c>
      <c r="C77" s="397" t="s">
        <v>21</v>
      </c>
      <c r="D77" s="397"/>
      <c r="E77" s="820"/>
      <c r="F77" s="64"/>
      <c r="G77" s="820"/>
      <c r="J77" s="397" t="s">
        <v>21</v>
      </c>
      <c r="K77" s="397" t="s">
        <v>21</v>
      </c>
      <c r="L77" s="397" t="s">
        <v>21</v>
      </c>
      <c r="M77" s="820"/>
      <c r="N77" s="397" t="s">
        <v>21</v>
      </c>
      <c r="O77" s="397" t="s">
        <v>21</v>
      </c>
      <c r="P77" s="397" t="s">
        <v>21</v>
      </c>
      <c r="Q77" s="64" t="s">
        <v>21</v>
      </c>
      <c r="R77" s="64" t="s">
        <v>21</v>
      </c>
      <c r="S77" s="64" t="s">
        <v>21</v>
      </c>
      <c r="T77" s="64" t="s">
        <v>21</v>
      </c>
      <c r="U77" s="64" t="s">
        <v>21</v>
      </c>
      <c r="V77" s="64" t="s">
        <v>21</v>
      </c>
      <c r="W77" s="64" t="s">
        <v>21</v>
      </c>
      <c r="X77" s="64" t="s">
        <v>21</v>
      </c>
      <c r="Y77" s="64" t="s">
        <v>21</v>
      </c>
      <c r="Z77" s="397" t="s">
        <v>21</v>
      </c>
      <c r="AA77" s="820"/>
      <c r="AB77" s="397" t="s">
        <v>21</v>
      </c>
      <c r="AC77" s="397" t="s">
        <v>21</v>
      </c>
      <c r="AD77" s="397" t="s">
        <v>21</v>
      </c>
      <c r="AE77" s="397" t="s">
        <v>21</v>
      </c>
      <c r="AF77" s="397" t="s">
        <v>21</v>
      </c>
      <c r="AG77" s="397" t="s">
        <v>21</v>
      </c>
    </row>
    <row r="78" spans="1:33">
      <c r="A78" s="397" t="s">
        <v>21</v>
      </c>
      <c r="B78" s="397" t="s">
        <v>21</v>
      </c>
      <c r="C78" s="397" t="s">
        <v>21</v>
      </c>
      <c r="D78" s="397"/>
      <c r="E78" s="820"/>
      <c r="F78" s="64"/>
      <c r="G78" s="820"/>
      <c r="J78" s="397" t="s">
        <v>21</v>
      </c>
      <c r="K78" s="397" t="s">
        <v>21</v>
      </c>
      <c r="L78" s="397" t="s">
        <v>21</v>
      </c>
      <c r="M78" s="820"/>
      <c r="N78" s="397" t="s">
        <v>21</v>
      </c>
      <c r="O78" s="397" t="s">
        <v>21</v>
      </c>
      <c r="P78" s="397" t="s">
        <v>21</v>
      </c>
      <c r="Q78" s="64" t="s">
        <v>21</v>
      </c>
      <c r="R78" s="64" t="s">
        <v>21</v>
      </c>
      <c r="S78" s="64" t="s">
        <v>21</v>
      </c>
      <c r="T78" s="64" t="s">
        <v>21</v>
      </c>
      <c r="U78" s="64" t="s">
        <v>21</v>
      </c>
      <c r="V78" s="64" t="s">
        <v>21</v>
      </c>
      <c r="W78" s="64" t="s">
        <v>21</v>
      </c>
      <c r="X78" s="64" t="s">
        <v>21</v>
      </c>
      <c r="Y78" s="64" t="s">
        <v>21</v>
      </c>
      <c r="Z78" s="397" t="s">
        <v>21</v>
      </c>
      <c r="AA78" s="820"/>
      <c r="AB78" s="397" t="s">
        <v>21</v>
      </c>
      <c r="AC78" s="397" t="s">
        <v>21</v>
      </c>
      <c r="AD78" s="397" t="s">
        <v>21</v>
      </c>
      <c r="AE78" s="397" t="s">
        <v>21</v>
      </c>
      <c r="AF78" s="397" t="s">
        <v>21</v>
      </c>
      <c r="AG78" s="397" t="s">
        <v>21</v>
      </c>
    </row>
    <row r="79" spans="1:33">
      <c r="A79" s="397" t="s">
        <v>21</v>
      </c>
      <c r="B79" s="397" t="s">
        <v>21</v>
      </c>
      <c r="C79" s="397" t="s">
        <v>21</v>
      </c>
      <c r="D79" s="397"/>
      <c r="E79" s="820"/>
      <c r="F79" s="64"/>
      <c r="G79" s="820"/>
      <c r="J79" s="397" t="s">
        <v>21</v>
      </c>
      <c r="K79" s="397" t="s">
        <v>21</v>
      </c>
      <c r="L79" s="397" t="s">
        <v>21</v>
      </c>
      <c r="M79" s="820"/>
      <c r="N79" s="397" t="s">
        <v>21</v>
      </c>
      <c r="O79" s="397" t="s">
        <v>21</v>
      </c>
      <c r="P79" s="397" t="s">
        <v>21</v>
      </c>
      <c r="Q79" s="64" t="s">
        <v>21</v>
      </c>
      <c r="R79" s="64" t="s">
        <v>21</v>
      </c>
      <c r="S79" s="64" t="s">
        <v>21</v>
      </c>
      <c r="T79" s="64" t="s">
        <v>21</v>
      </c>
      <c r="U79" s="64" t="s">
        <v>21</v>
      </c>
      <c r="V79" s="64" t="s">
        <v>21</v>
      </c>
      <c r="W79" s="64" t="s">
        <v>21</v>
      </c>
      <c r="X79" s="64" t="s">
        <v>21</v>
      </c>
      <c r="Y79" s="64" t="s">
        <v>21</v>
      </c>
      <c r="Z79" s="397" t="s">
        <v>21</v>
      </c>
      <c r="AA79" s="820"/>
      <c r="AB79" s="397" t="s">
        <v>21</v>
      </c>
      <c r="AC79" s="397" t="s">
        <v>21</v>
      </c>
      <c r="AD79" s="397" t="s">
        <v>21</v>
      </c>
      <c r="AE79" s="397" t="s">
        <v>21</v>
      </c>
      <c r="AF79" s="397" t="s">
        <v>21</v>
      </c>
      <c r="AG79" s="397" t="s">
        <v>21</v>
      </c>
    </row>
    <row r="80" spans="1:33">
      <c r="A80" s="397" t="s">
        <v>21</v>
      </c>
      <c r="B80" s="397" t="s">
        <v>21</v>
      </c>
      <c r="C80" s="397" t="s">
        <v>21</v>
      </c>
      <c r="D80" s="397"/>
      <c r="E80" s="820"/>
      <c r="F80" s="64"/>
      <c r="G80" s="820"/>
      <c r="J80" s="397" t="s">
        <v>21</v>
      </c>
      <c r="K80" s="397" t="s">
        <v>21</v>
      </c>
      <c r="L80" s="397" t="s">
        <v>21</v>
      </c>
      <c r="M80" s="820"/>
      <c r="N80" s="397" t="s">
        <v>21</v>
      </c>
      <c r="O80" s="397" t="s">
        <v>21</v>
      </c>
      <c r="P80" s="397" t="s">
        <v>21</v>
      </c>
      <c r="Q80" s="64" t="s">
        <v>21</v>
      </c>
      <c r="R80" s="64" t="s">
        <v>21</v>
      </c>
      <c r="S80" s="64" t="s">
        <v>21</v>
      </c>
      <c r="T80" s="64" t="s">
        <v>21</v>
      </c>
      <c r="U80" s="64" t="s">
        <v>21</v>
      </c>
      <c r="V80" s="64" t="s">
        <v>21</v>
      </c>
      <c r="W80" s="64" t="s">
        <v>21</v>
      </c>
      <c r="X80" s="64" t="s">
        <v>21</v>
      </c>
      <c r="Y80" s="64" t="s">
        <v>21</v>
      </c>
      <c r="Z80" s="397" t="s">
        <v>21</v>
      </c>
      <c r="AA80" s="820"/>
      <c r="AB80" s="397" t="s">
        <v>21</v>
      </c>
      <c r="AC80" s="397" t="s">
        <v>21</v>
      </c>
      <c r="AD80" s="397" t="s">
        <v>21</v>
      </c>
      <c r="AE80" s="397" t="s">
        <v>21</v>
      </c>
      <c r="AF80" s="397" t="s">
        <v>21</v>
      </c>
      <c r="AG80" s="397" t="s">
        <v>21</v>
      </c>
    </row>
    <row r="81" spans="1:33">
      <c r="A81" s="397" t="s">
        <v>21</v>
      </c>
      <c r="B81" s="397" t="s">
        <v>21</v>
      </c>
      <c r="C81" s="397" t="s">
        <v>21</v>
      </c>
      <c r="D81" s="397"/>
      <c r="E81" s="820"/>
      <c r="F81" s="64"/>
      <c r="G81" s="820"/>
      <c r="J81" s="397" t="s">
        <v>21</v>
      </c>
      <c r="K81" s="397" t="s">
        <v>21</v>
      </c>
      <c r="L81" s="397" t="s">
        <v>21</v>
      </c>
      <c r="M81" s="820"/>
      <c r="N81" s="397" t="s">
        <v>21</v>
      </c>
      <c r="O81" s="397" t="s">
        <v>21</v>
      </c>
      <c r="P81" s="397" t="s">
        <v>21</v>
      </c>
      <c r="Q81" s="64" t="s">
        <v>21</v>
      </c>
      <c r="R81" s="64" t="s">
        <v>21</v>
      </c>
      <c r="S81" s="64" t="s">
        <v>21</v>
      </c>
      <c r="T81" s="64" t="s">
        <v>21</v>
      </c>
      <c r="U81" s="64" t="s">
        <v>21</v>
      </c>
      <c r="V81" s="64" t="s">
        <v>21</v>
      </c>
      <c r="W81" s="64" t="s">
        <v>21</v>
      </c>
      <c r="X81" s="64" t="s">
        <v>21</v>
      </c>
      <c r="Y81" s="64" t="s">
        <v>21</v>
      </c>
      <c r="Z81" s="397" t="s">
        <v>21</v>
      </c>
      <c r="AA81" s="820"/>
      <c r="AB81" s="397" t="s">
        <v>21</v>
      </c>
      <c r="AC81" s="397" t="s">
        <v>21</v>
      </c>
      <c r="AD81" s="397" t="s">
        <v>21</v>
      </c>
      <c r="AE81" s="397" t="s">
        <v>21</v>
      </c>
      <c r="AF81" s="397" t="s">
        <v>21</v>
      </c>
      <c r="AG81" s="397" t="s">
        <v>21</v>
      </c>
    </row>
    <row r="82" spans="1:33">
      <c r="A82" s="397" t="s">
        <v>21</v>
      </c>
      <c r="B82" s="397" t="s">
        <v>21</v>
      </c>
      <c r="C82" s="397" t="s">
        <v>21</v>
      </c>
      <c r="D82" s="397"/>
      <c r="E82" s="820"/>
      <c r="F82" s="64"/>
      <c r="G82" s="820"/>
      <c r="J82" s="397" t="s">
        <v>21</v>
      </c>
      <c r="K82" s="397" t="s">
        <v>21</v>
      </c>
      <c r="L82" s="397" t="s">
        <v>21</v>
      </c>
      <c r="M82" s="820"/>
      <c r="N82" s="397" t="s">
        <v>21</v>
      </c>
      <c r="O82" s="397" t="s">
        <v>21</v>
      </c>
      <c r="P82" s="397" t="s">
        <v>21</v>
      </c>
      <c r="Q82" s="64" t="s">
        <v>21</v>
      </c>
      <c r="R82" s="64" t="s">
        <v>21</v>
      </c>
      <c r="S82" s="64" t="s">
        <v>21</v>
      </c>
      <c r="T82" s="64" t="s">
        <v>21</v>
      </c>
      <c r="U82" s="64" t="s">
        <v>21</v>
      </c>
      <c r="V82" s="64" t="s">
        <v>21</v>
      </c>
      <c r="W82" s="64" t="s">
        <v>21</v>
      </c>
      <c r="X82" s="64" t="s">
        <v>21</v>
      </c>
      <c r="Y82" s="64" t="s">
        <v>21</v>
      </c>
      <c r="Z82" s="397" t="s">
        <v>21</v>
      </c>
      <c r="AA82" s="820"/>
      <c r="AB82" s="397" t="s">
        <v>21</v>
      </c>
      <c r="AC82" s="397" t="s">
        <v>21</v>
      </c>
      <c r="AD82" s="397" t="s">
        <v>21</v>
      </c>
      <c r="AE82" s="397" t="s">
        <v>21</v>
      </c>
      <c r="AF82" s="397" t="s">
        <v>21</v>
      </c>
      <c r="AG82" s="397" t="s">
        <v>21</v>
      </c>
    </row>
    <row r="83" spans="1:33">
      <c r="A83" s="397" t="s">
        <v>21</v>
      </c>
      <c r="B83" s="397" t="s">
        <v>21</v>
      </c>
      <c r="C83" s="397" t="s">
        <v>21</v>
      </c>
      <c r="D83" s="397"/>
      <c r="E83" s="820"/>
      <c r="F83" s="64"/>
      <c r="G83" s="820"/>
      <c r="J83" s="397" t="s">
        <v>21</v>
      </c>
      <c r="K83" s="397" t="s">
        <v>21</v>
      </c>
      <c r="L83" s="397" t="s">
        <v>21</v>
      </c>
      <c r="M83" s="820"/>
      <c r="N83" s="397" t="s">
        <v>21</v>
      </c>
      <c r="O83" s="397" t="s">
        <v>21</v>
      </c>
      <c r="P83" s="397" t="s">
        <v>21</v>
      </c>
      <c r="Q83" s="64" t="s">
        <v>21</v>
      </c>
      <c r="R83" s="64" t="s">
        <v>21</v>
      </c>
      <c r="S83" s="64" t="s">
        <v>21</v>
      </c>
      <c r="T83" s="64" t="s">
        <v>21</v>
      </c>
      <c r="U83" s="64" t="s">
        <v>21</v>
      </c>
      <c r="V83" s="64" t="s">
        <v>21</v>
      </c>
      <c r="W83" s="64" t="s">
        <v>21</v>
      </c>
      <c r="X83" s="64" t="s">
        <v>21</v>
      </c>
      <c r="Y83" s="64" t="s">
        <v>21</v>
      </c>
      <c r="Z83" s="397" t="s">
        <v>21</v>
      </c>
      <c r="AA83" s="820"/>
      <c r="AB83" s="397" t="s">
        <v>21</v>
      </c>
      <c r="AC83" s="397" t="s">
        <v>21</v>
      </c>
      <c r="AD83" s="397" t="s">
        <v>21</v>
      </c>
      <c r="AE83" s="397" t="s">
        <v>21</v>
      </c>
      <c r="AF83" s="397" t="s">
        <v>21</v>
      </c>
      <c r="AG83" s="397" t="s">
        <v>21</v>
      </c>
    </row>
    <row r="84" spans="1:33">
      <c r="A84" s="397" t="s">
        <v>21</v>
      </c>
      <c r="B84" s="397" t="s">
        <v>21</v>
      </c>
      <c r="C84" s="397" t="s">
        <v>21</v>
      </c>
      <c r="D84" s="397"/>
      <c r="E84" s="820"/>
      <c r="F84" s="64"/>
      <c r="G84" s="820"/>
      <c r="J84" s="397" t="s">
        <v>21</v>
      </c>
      <c r="K84" s="397" t="s">
        <v>21</v>
      </c>
      <c r="L84" s="397" t="s">
        <v>21</v>
      </c>
      <c r="M84" s="820"/>
      <c r="N84" s="397" t="s">
        <v>21</v>
      </c>
      <c r="O84" s="397" t="s">
        <v>21</v>
      </c>
      <c r="P84" s="397" t="s">
        <v>21</v>
      </c>
      <c r="Q84" s="64" t="s">
        <v>21</v>
      </c>
      <c r="R84" s="64" t="s">
        <v>21</v>
      </c>
      <c r="S84" s="64" t="s">
        <v>21</v>
      </c>
      <c r="T84" s="64" t="s">
        <v>21</v>
      </c>
      <c r="U84" s="64" t="s">
        <v>21</v>
      </c>
      <c r="V84" s="64" t="s">
        <v>21</v>
      </c>
      <c r="W84" s="64" t="s">
        <v>21</v>
      </c>
      <c r="X84" s="64" t="s">
        <v>21</v>
      </c>
      <c r="Y84" s="64" t="s">
        <v>21</v>
      </c>
      <c r="Z84" s="397" t="s">
        <v>21</v>
      </c>
      <c r="AA84" s="820"/>
      <c r="AB84" s="397" t="s">
        <v>21</v>
      </c>
      <c r="AC84" s="397" t="s">
        <v>21</v>
      </c>
      <c r="AD84" s="397" t="s">
        <v>21</v>
      </c>
      <c r="AE84" s="397" t="s">
        <v>21</v>
      </c>
      <c r="AF84" s="397" t="s">
        <v>21</v>
      </c>
      <c r="AG84" s="397" t="s">
        <v>21</v>
      </c>
    </row>
    <row r="85" spans="1:33">
      <c r="A85" s="397" t="s">
        <v>21</v>
      </c>
      <c r="B85" s="397" t="s">
        <v>21</v>
      </c>
      <c r="C85" s="397" t="s">
        <v>21</v>
      </c>
      <c r="D85" s="397"/>
      <c r="E85" s="820"/>
      <c r="F85" s="64"/>
      <c r="G85" s="820"/>
      <c r="J85" s="397" t="s">
        <v>21</v>
      </c>
      <c r="K85" s="397" t="s">
        <v>21</v>
      </c>
      <c r="L85" s="397" t="s">
        <v>21</v>
      </c>
      <c r="M85" s="820"/>
      <c r="N85" s="397" t="s">
        <v>21</v>
      </c>
      <c r="O85" s="397" t="s">
        <v>21</v>
      </c>
      <c r="P85" s="397" t="s">
        <v>21</v>
      </c>
      <c r="Q85" s="64" t="s">
        <v>21</v>
      </c>
      <c r="R85" s="64" t="s">
        <v>21</v>
      </c>
      <c r="S85" s="64" t="s">
        <v>21</v>
      </c>
      <c r="T85" s="64" t="s">
        <v>21</v>
      </c>
      <c r="U85" s="64" t="s">
        <v>21</v>
      </c>
      <c r="V85" s="64" t="s">
        <v>21</v>
      </c>
      <c r="W85" s="64" t="s">
        <v>21</v>
      </c>
      <c r="X85" s="64" t="s">
        <v>21</v>
      </c>
      <c r="Y85" s="64" t="s">
        <v>21</v>
      </c>
      <c r="Z85" s="397" t="s">
        <v>21</v>
      </c>
      <c r="AA85" s="820"/>
      <c r="AB85" s="397" t="s">
        <v>21</v>
      </c>
      <c r="AC85" s="397" t="s">
        <v>21</v>
      </c>
      <c r="AD85" s="397" t="s">
        <v>21</v>
      </c>
      <c r="AE85" s="397" t="s">
        <v>21</v>
      </c>
      <c r="AF85" s="397" t="s">
        <v>21</v>
      </c>
      <c r="AG85" s="397" t="s">
        <v>21</v>
      </c>
    </row>
    <row r="86" spans="1:33">
      <c r="A86" s="397" t="s">
        <v>21</v>
      </c>
      <c r="B86" s="397" t="s">
        <v>21</v>
      </c>
      <c r="C86" s="397" t="s">
        <v>21</v>
      </c>
      <c r="D86" s="397"/>
      <c r="E86" s="820"/>
      <c r="F86" s="64"/>
      <c r="G86" s="820"/>
      <c r="J86" s="397" t="s">
        <v>21</v>
      </c>
      <c r="K86" s="397" t="s">
        <v>21</v>
      </c>
      <c r="L86" s="397" t="s">
        <v>21</v>
      </c>
      <c r="M86" s="820"/>
      <c r="N86" s="397" t="s">
        <v>21</v>
      </c>
      <c r="O86" s="397" t="s">
        <v>21</v>
      </c>
      <c r="P86" s="397" t="s">
        <v>21</v>
      </c>
      <c r="Q86" s="64" t="s">
        <v>21</v>
      </c>
      <c r="R86" s="64" t="s">
        <v>21</v>
      </c>
      <c r="S86" s="64" t="s">
        <v>21</v>
      </c>
      <c r="T86" s="64" t="s">
        <v>21</v>
      </c>
      <c r="U86" s="64" t="s">
        <v>21</v>
      </c>
      <c r="V86" s="64" t="s">
        <v>21</v>
      </c>
      <c r="W86" s="64" t="s">
        <v>21</v>
      </c>
      <c r="X86" s="64" t="s">
        <v>21</v>
      </c>
      <c r="Y86" s="64" t="s">
        <v>21</v>
      </c>
      <c r="Z86" s="397" t="s">
        <v>21</v>
      </c>
      <c r="AA86" s="820"/>
      <c r="AB86" s="397" t="s">
        <v>21</v>
      </c>
      <c r="AC86" s="397" t="s">
        <v>21</v>
      </c>
      <c r="AD86" s="397" t="s">
        <v>21</v>
      </c>
      <c r="AE86" s="397" t="s">
        <v>21</v>
      </c>
      <c r="AF86" s="397" t="s">
        <v>21</v>
      </c>
      <c r="AG86" s="397" t="s">
        <v>21</v>
      </c>
    </row>
    <row r="87" spans="1:33">
      <c r="A87" s="397" t="s">
        <v>21</v>
      </c>
      <c r="B87" s="397" t="s">
        <v>21</v>
      </c>
      <c r="C87" s="397" t="s">
        <v>21</v>
      </c>
      <c r="D87" s="397"/>
      <c r="E87" s="820"/>
      <c r="F87" s="64"/>
      <c r="G87" s="820"/>
      <c r="J87" s="397" t="s">
        <v>21</v>
      </c>
      <c r="K87" s="397" t="s">
        <v>21</v>
      </c>
      <c r="L87" s="397" t="s">
        <v>21</v>
      </c>
      <c r="M87" s="820"/>
      <c r="N87" s="397" t="s">
        <v>21</v>
      </c>
      <c r="O87" s="397" t="s">
        <v>21</v>
      </c>
      <c r="P87" s="397" t="s">
        <v>21</v>
      </c>
      <c r="Q87" s="64" t="s">
        <v>21</v>
      </c>
      <c r="R87" s="64" t="s">
        <v>21</v>
      </c>
      <c r="S87" s="64" t="s">
        <v>21</v>
      </c>
      <c r="T87" s="64" t="s">
        <v>21</v>
      </c>
      <c r="U87" s="64" t="s">
        <v>21</v>
      </c>
      <c r="V87" s="64" t="s">
        <v>21</v>
      </c>
      <c r="W87" s="64" t="s">
        <v>21</v>
      </c>
      <c r="X87" s="64" t="s">
        <v>21</v>
      </c>
      <c r="Y87" s="64" t="s">
        <v>21</v>
      </c>
      <c r="Z87" s="397" t="s">
        <v>21</v>
      </c>
      <c r="AA87" s="820"/>
      <c r="AB87" s="397" t="s">
        <v>21</v>
      </c>
      <c r="AC87" s="397" t="s">
        <v>21</v>
      </c>
      <c r="AD87" s="397" t="s">
        <v>21</v>
      </c>
      <c r="AE87" s="397" t="s">
        <v>21</v>
      </c>
      <c r="AF87" s="397" t="s">
        <v>21</v>
      </c>
      <c r="AG87" s="397" t="s">
        <v>21</v>
      </c>
    </row>
    <row r="88" spans="1:33">
      <c r="A88" s="397" t="s">
        <v>21</v>
      </c>
      <c r="B88" s="397" t="s">
        <v>21</v>
      </c>
      <c r="C88" s="397" t="s">
        <v>21</v>
      </c>
      <c r="D88" s="397"/>
      <c r="E88" s="820"/>
      <c r="F88" s="64"/>
      <c r="G88" s="820"/>
      <c r="J88" s="397" t="s">
        <v>21</v>
      </c>
      <c r="K88" s="397" t="s">
        <v>21</v>
      </c>
      <c r="L88" s="397" t="s">
        <v>21</v>
      </c>
      <c r="M88" s="820"/>
      <c r="N88" s="397" t="s">
        <v>21</v>
      </c>
      <c r="O88" s="397" t="s">
        <v>21</v>
      </c>
      <c r="P88" s="397" t="s">
        <v>21</v>
      </c>
      <c r="Q88" s="64" t="s">
        <v>21</v>
      </c>
      <c r="R88" s="64" t="s">
        <v>21</v>
      </c>
      <c r="S88" s="64" t="s">
        <v>21</v>
      </c>
      <c r="T88" s="64" t="s">
        <v>21</v>
      </c>
      <c r="U88" s="64" t="s">
        <v>21</v>
      </c>
      <c r="V88" s="64" t="s">
        <v>21</v>
      </c>
      <c r="W88" s="64" t="s">
        <v>21</v>
      </c>
      <c r="X88" s="64" t="s">
        <v>21</v>
      </c>
      <c r="Y88" s="64" t="s">
        <v>21</v>
      </c>
      <c r="Z88" s="397" t="s">
        <v>21</v>
      </c>
      <c r="AA88" s="820"/>
      <c r="AB88" s="397" t="s">
        <v>21</v>
      </c>
      <c r="AC88" s="397" t="s">
        <v>21</v>
      </c>
      <c r="AD88" s="397" t="s">
        <v>21</v>
      </c>
      <c r="AE88" s="397" t="s">
        <v>21</v>
      </c>
      <c r="AF88" s="397" t="s">
        <v>21</v>
      </c>
      <c r="AG88" s="397" t="s">
        <v>21</v>
      </c>
    </row>
    <row r="89" spans="1:33">
      <c r="A89" s="397" t="s">
        <v>21</v>
      </c>
      <c r="B89" s="397" t="s">
        <v>21</v>
      </c>
      <c r="C89" s="397" t="s">
        <v>21</v>
      </c>
      <c r="D89" s="397"/>
      <c r="E89" s="820"/>
      <c r="F89" s="64"/>
      <c r="G89" s="820"/>
      <c r="J89" s="397" t="s">
        <v>21</v>
      </c>
      <c r="K89" s="397" t="s">
        <v>21</v>
      </c>
      <c r="L89" s="397" t="s">
        <v>21</v>
      </c>
      <c r="M89" s="820"/>
      <c r="N89" s="397" t="s">
        <v>21</v>
      </c>
      <c r="O89" s="397" t="s">
        <v>21</v>
      </c>
      <c r="P89" s="397" t="s">
        <v>21</v>
      </c>
      <c r="Q89" s="64" t="s">
        <v>21</v>
      </c>
      <c r="R89" s="64" t="s">
        <v>21</v>
      </c>
      <c r="S89" s="64" t="s">
        <v>21</v>
      </c>
      <c r="T89" s="64" t="s">
        <v>21</v>
      </c>
      <c r="U89" s="64" t="s">
        <v>21</v>
      </c>
      <c r="V89" s="64" t="s">
        <v>21</v>
      </c>
      <c r="W89" s="64" t="s">
        <v>21</v>
      </c>
      <c r="X89" s="64" t="s">
        <v>21</v>
      </c>
      <c r="Y89" s="64" t="s">
        <v>21</v>
      </c>
      <c r="Z89" s="397" t="s">
        <v>21</v>
      </c>
      <c r="AA89" s="820"/>
      <c r="AB89" s="397" t="s">
        <v>21</v>
      </c>
      <c r="AC89" s="397" t="s">
        <v>21</v>
      </c>
      <c r="AD89" s="397" t="s">
        <v>21</v>
      </c>
      <c r="AE89" s="397" t="s">
        <v>21</v>
      </c>
      <c r="AF89" s="397" t="s">
        <v>21</v>
      </c>
      <c r="AG89" s="397" t="s">
        <v>21</v>
      </c>
    </row>
    <row r="90" spans="1:33">
      <c r="A90" s="397" t="s">
        <v>21</v>
      </c>
      <c r="B90" s="397" t="s">
        <v>21</v>
      </c>
      <c r="C90" s="397" t="s">
        <v>21</v>
      </c>
      <c r="D90" s="397"/>
      <c r="E90" s="820"/>
      <c r="F90" s="64"/>
      <c r="G90" s="820"/>
      <c r="J90" s="397" t="s">
        <v>21</v>
      </c>
      <c r="K90" s="397" t="s">
        <v>21</v>
      </c>
      <c r="L90" s="397" t="s">
        <v>21</v>
      </c>
      <c r="M90" s="820"/>
      <c r="N90" s="397" t="s">
        <v>21</v>
      </c>
      <c r="O90" s="397" t="s">
        <v>21</v>
      </c>
      <c r="P90" s="397" t="s">
        <v>21</v>
      </c>
      <c r="Q90" s="64" t="s">
        <v>21</v>
      </c>
      <c r="R90" s="64" t="s">
        <v>21</v>
      </c>
      <c r="S90" s="64" t="s">
        <v>21</v>
      </c>
      <c r="T90" s="64" t="s">
        <v>21</v>
      </c>
      <c r="U90" s="64" t="s">
        <v>21</v>
      </c>
      <c r="V90" s="64" t="s">
        <v>21</v>
      </c>
      <c r="W90" s="64" t="s">
        <v>21</v>
      </c>
      <c r="X90" s="64" t="s">
        <v>21</v>
      </c>
      <c r="Y90" s="64" t="s">
        <v>21</v>
      </c>
      <c r="Z90" s="397" t="s">
        <v>21</v>
      </c>
      <c r="AA90" s="820"/>
      <c r="AB90" s="397" t="s">
        <v>21</v>
      </c>
      <c r="AC90" s="397" t="s">
        <v>21</v>
      </c>
      <c r="AD90" s="397" t="s">
        <v>21</v>
      </c>
      <c r="AE90" s="397" t="s">
        <v>21</v>
      </c>
      <c r="AF90" s="397" t="s">
        <v>21</v>
      </c>
      <c r="AG90" s="397" t="s">
        <v>21</v>
      </c>
    </row>
    <row r="91" spans="1:33">
      <c r="A91" s="397" t="s">
        <v>21</v>
      </c>
      <c r="B91" s="397" t="s">
        <v>21</v>
      </c>
      <c r="C91" s="397" t="s">
        <v>21</v>
      </c>
      <c r="D91" s="397"/>
      <c r="E91" s="820"/>
      <c r="F91" s="64"/>
      <c r="G91" s="820"/>
      <c r="J91" s="397" t="s">
        <v>21</v>
      </c>
      <c r="K91" s="397" t="s">
        <v>21</v>
      </c>
      <c r="L91" s="397" t="s">
        <v>21</v>
      </c>
      <c r="M91" s="820"/>
      <c r="N91" s="397" t="s">
        <v>21</v>
      </c>
      <c r="O91" s="397" t="s">
        <v>21</v>
      </c>
      <c r="P91" s="397" t="s">
        <v>21</v>
      </c>
      <c r="Q91" s="64" t="s">
        <v>21</v>
      </c>
      <c r="R91" s="64" t="s">
        <v>21</v>
      </c>
      <c r="S91" s="64" t="s">
        <v>21</v>
      </c>
      <c r="T91" s="64" t="s">
        <v>21</v>
      </c>
      <c r="U91" s="64" t="s">
        <v>21</v>
      </c>
      <c r="V91" s="64" t="s">
        <v>21</v>
      </c>
      <c r="W91" s="64" t="s">
        <v>21</v>
      </c>
      <c r="X91" s="64" t="s">
        <v>21</v>
      </c>
      <c r="Y91" s="64" t="s">
        <v>21</v>
      </c>
      <c r="Z91" s="397" t="s">
        <v>21</v>
      </c>
      <c r="AA91" s="820"/>
      <c r="AB91" s="397" t="s">
        <v>21</v>
      </c>
      <c r="AC91" s="397" t="s">
        <v>21</v>
      </c>
      <c r="AD91" s="397" t="s">
        <v>21</v>
      </c>
      <c r="AE91" s="397" t="s">
        <v>21</v>
      </c>
      <c r="AF91" s="397" t="s">
        <v>21</v>
      </c>
      <c r="AG91" s="397" t="s">
        <v>21</v>
      </c>
    </row>
    <row r="92" spans="1:33">
      <c r="A92" s="397" t="s">
        <v>21</v>
      </c>
      <c r="B92" s="397" t="s">
        <v>21</v>
      </c>
      <c r="C92" s="397" t="s">
        <v>21</v>
      </c>
      <c r="D92" s="397"/>
      <c r="E92" s="820"/>
      <c r="F92" s="64"/>
      <c r="G92" s="820"/>
      <c r="J92" s="397" t="s">
        <v>21</v>
      </c>
      <c r="K92" s="397" t="s">
        <v>21</v>
      </c>
      <c r="L92" s="397" t="s">
        <v>21</v>
      </c>
      <c r="M92" s="820"/>
      <c r="N92" s="397" t="s">
        <v>21</v>
      </c>
      <c r="O92" s="397" t="s">
        <v>21</v>
      </c>
      <c r="P92" s="397" t="s">
        <v>21</v>
      </c>
      <c r="Q92" s="64" t="s">
        <v>21</v>
      </c>
      <c r="R92" s="64" t="s">
        <v>21</v>
      </c>
      <c r="S92" s="64" t="s">
        <v>21</v>
      </c>
      <c r="T92" s="64" t="s">
        <v>21</v>
      </c>
      <c r="U92" s="64" t="s">
        <v>21</v>
      </c>
      <c r="V92" s="64" t="s">
        <v>21</v>
      </c>
      <c r="W92" s="64" t="s">
        <v>21</v>
      </c>
      <c r="X92" s="64" t="s">
        <v>21</v>
      </c>
      <c r="Y92" s="64" t="s">
        <v>21</v>
      </c>
      <c r="Z92" s="397" t="s">
        <v>21</v>
      </c>
      <c r="AA92" s="820"/>
      <c r="AB92" s="397" t="s">
        <v>21</v>
      </c>
      <c r="AC92" s="397" t="s">
        <v>21</v>
      </c>
      <c r="AD92" s="397" t="s">
        <v>21</v>
      </c>
      <c r="AE92" s="397" t="s">
        <v>21</v>
      </c>
      <c r="AF92" s="397" t="s">
        <v>21</v>
      </c>
      <c r="AG92" s="397" t="s">
        <v>21</v>
      </c>
    </row>
    <row r="93" spans="1:33">
      <c r="A93" s="397" t="s">
        <v>21</v>
      </c>
      <c r="B93" s="397" t="s">
        <v>21</v>
      </c>
      <c r="C93" s="397" t="s">
        <v>21</v>
      </c>
      <c r="D93" s="397"/>
      <c r="E93" s="820"/>
      <c r="F93" s="64"/>
      <c r="G93" s="820"/>
      <c r="J93" s="397" t="s">
        <v>21</v>
      </c>
      <c r="K93" s="397" t="s">
        <v>21</v>
      </c>
      <c r="L93" s="397" t="s">
        <v>21</v>
      </c>
      <c r="M93" s="820"/>
      <c r="N93" s="397" t="s">
        <v>21</v>
      </c>
      <c r="O93" s="397" t="s">
        <v>21</v>
      </c>
      <c r="P93" s="397" t="s">
        <v>21</v>
      </c>
      <c r="Q93" s="64" t="s">
        <v>21</v>
      </c>
      <c r="R93" s="64" t="s">
        <v>21</v>
      </c>
      <c r="S93" s="64" t="s">
        <v>21</v>
      </c>
      <c r="T93" s="64" t="s">
        <v>21</v>
      </c>
      <c r="U93" s="64" t="s">
        <v>21</v>
      </c>
      <c r="V93" s="64" t="s">
        <v>21</v>
      </c>
      <c r="W93" s="64" t="s">
        <v>21</v>
      </c>
      <c r="X93" s="64" t="s">
        <v>21</v>
      </c>
      <c r="Y93" s="64" t="s">
        <v>21</v>
      </c>
      <c r="Z93" s="397" t="s">
        <v>21</v>
      </c>
      <c r="AA93" s="820"/>
      <c r="AB93" s="397" t="s">
        <v>21</v>
      </c>
      <c r="AC93" s="397" t="s">
        <v>21</v>
      </c>
      <c r="AD93" s="397" t="s">
        <v>21</v>
      </c>
      <c r="AE93" s="397" t="s">
        <v>21</v>
      </c>
      <c r="AF93" s="397" t="s">
        <v>21</v>
      </c>
      <c r="AG93" s="397" t="s">
        <v>21</v>
      </c>
    </row>
    <row r="94" spans="1:33">
      <c r="A94" s="397" t="s">
        <v>21</v>
      </c>
      <c r="B94" s="397" t="s">
        <v>21</v>
      </c>
      <c r="C94" s="397" t="s">
        <v>21</v>
      </c>
      <c r="D94" s="397"/>
      <c r="E94" s="820"/>
      <c r="F94" s="64"/>
      <c r="G94" s="820"/>
      <c r="J94" s="397" t="s">
        <v>21</v>
      </c>
      <c r="K94" s="397" t="s">
        <v>21</v>
      </c>
      <c r="L94" s="397" t="s">
        <v>21</v>
      </c>
      <c r="M94" s="820"/>
      <c r="N94" s="397" t="s">
        <v>21</v>
      </c>
      <c r="O94" s="397" t="s">
        <v>21</v>
      </c>
      <c r="P94" s="397" t="s">
        <v>21</v>
      </c>
      <c r="Q94" s="64" t="s">
        <v>21</v>
      </c>
      <c r="R94" s="64" t="s">
        <v>21</v>
      </c>
      <c r="S94" s="64" t="s">
        <v>21</v>
      </c>
      <c r="T94" s="64" t="s">
        <v>21</v>
      </c>
      <c r="U94" s="64" t="s">
        <v>21</v>
      </c>
      <c r="V94" s="64" t="s">
        <v>21</v>
      </c>
      <c r="W94" s="64" t="s">
        <v>21</v>
      </c>
      <c r="X94" s="64" t="s">
        <v>21</v>
      </c>
      <c r="Y94" s="64" t="s">
        <v>21</v>
      </c>
      <c r="Z94" s="397" t="s">
        <v>21</v>
      </c>
      <c r="AA94" s="820"/>
      <c r="AB94" s="397" t="s">
        <v>21</v>
      </c>
      <c r="AC94" s="397" t="s">
        <v>21</v>
      </c>
      <c r="AD94" s="397" t="s">
        <v>21</v>
      </c>
      <c r="AE94" s="397" t="s">
        <v>21</v>
      </c>
      <c r="AF94" s="397" t="s">
        <v>21</v>
      </c>
      <c r="AG94" s="397" t="s">
        <v>21</v>
      </c>
    </row>
    <row r="95" spans="1:33">
      <c r="A95" s="397" t="s">
        <v>21</v>
      </c>
      <c r="B95" s="397" t="s">
        <v>21</v>
      </c>
      <c r="C95" s="397" t="s">
        <v>21</v>
      </c>
      <c r="D95" s="397"/>
      <c r="E95" s="820"/>
      <c r="F95" s="64"/>
      <c r="G95" s="820"/>
      <c r="J95" s="397" t="s">
        <v>21</v>
      </c>
      <c r="K95" s="397" t="s">
        <v>21</v>
      </c>
      <c r="L95" s="397" t="s">
        <v>21</v>
      </c>
      <c r="M95" s="820"/>
      <c r="N95" s="397" t="s">
        <v>21</v>
      </c>
      <c r="O95" s="397" t="s">
        <v>21</v>
      </c>
      <c r="P95" s="397" t="s">
        <v>21</v>
      </c>
      <c r="Q95" s="64" t="s">
        <v>21</v>
      </c>
      <c r="R95" s="64" t="s">
        <v>21</v>
      </c>
      <c r="S95" s="64" t="s">
        <v>21</v>
      </c>
      <c r="T95" s="64" t="s">
        <v>21</v>
      </c>
      <c r="U95" s="64" t="s">
        <v>21</v>
      </c>
      <c r="V95" s="64" t="s">
        <v>21</v>
      </c>
      <c r="W95" s="64" t="s">
        <v>21</v>
      </c>
      <c r="X95" s="64" t="s">
        <v>21</v>
      </c>
      <c r="Y95" s="64" t="s">
        <v>21</v>
      </c>
      <c r="Z95" s="397" t="s">
        <v>21</v>
      </c>
      <c r="AA95" s="820"/>
      <c r="AB95" s="397" t="s">
        <v>21</v>
      </c>
      <c r="AC95" s="397" t="s">
        <v>21</v>
      </c>
      <c r="AD95" s="397" t="s">
        <v>21</v>
      </c>
      <c r="AE95" s="397" t="s">
        <v>21</v>
      </c>
      <c r="AF95" s="397" t="s">
        <v>21</v>
      </c>
      <c r="AG95" s="397" t="s">
        <v>21</v>
      </c>
    </row>
    <row r="96" spans="1:33">
      <c r="A96" s="397" t="s">
        <v>21</v>
      </c>
      <c r="B96" s="397" t="s">
        <v>21</v>
      </c>
      <c r="C96" s="397" t="s">
        <v>21</v>
      </c>
      <c r="D96" s="397"/>
      <c r="E96" s="820"/>
      <c r="F96" s="64"/>
      <c r="G96" s="820"/>
      <c r="J96" s="397" t="s">
        <v>21</v>
      </c>
      <c r="K96" s="397" t="s">
        <v>21</v>
      </c>
      <c r="L96" s="397" t="s">
        <v>21</v>
      </c>
      <c r="M96" s="820"/>
      <c r="N96" s="397" t="s">
        <v>21</v>
      </c>
      <c r="O96" s="397" t="s">
        <v>21</v>
      </c>
      <c r="P96" s="397" t="s">
        <v>21</v>
      </c>
      <c r="Q96" s="64" t="s">
        <v>21</v>
      </c>
      <c r="R96" s="64" t="s">
        <v>21</v>
      </c>
      <c r="S96" s="64" t="s">
        <v>21</v>
      </c>
      <c r="T96" s="64" t="s">
        <v>21</v>
      </c>
      <c r="U96" s="64" t="s">
        <v>21</v>
      </c>
      <c r="V96" s="64" t="s">
        <v>21</v>
      </c>
      <c r="W96" s="64" t="s">
        <v>21</v>
      </c>
      <c r="X96" s="64" t="s">
        <v>21</v>
      </c>
      <c r="Y96" s="64" t="s">
        <v>21</v>
      </c>
      <c r="Z96" s="397" t="s">
        <v>21</v>
      </c>
      <c r="AA96" s="820"/>
      <c r="AB96" s="397" t="s">
        <v>21</v>
      </c>
      <c r="AC96" s="397" t="s">
        <v>21</v>
      </c>
      <c r="AD96" s="397" t="s">
        <v>21</v>
      </c>
      <c r="AE96" s="397" t="s">
        <v>21</v>
      </c>
      <c r="AF96" s="397" t="s">
        <v>21</v>
      </c>
      <c r="AG96" s="397" t="s">
        <v>21</v>
      </c>
    </row>
    <row r="97" spans="1:33">
      <c r="A97" s="397" t="s">
        <v>21</v>
      </c>
      <c r="B97" s="397" t="s">
        <v>21</v>
      </c>
      <c r="C97" s="397" t="s">
        <v>21</v>
      </c>
      <c r="D97" s="397"/>
      <c r="E97" s="820"/>
      <c r="F97" s="64"/>
      <c r="G97" s="820"/>
      <c r="J97" s="397" t="s">
        <v>21</v>
      </c>
      <c r="K97" s="397" t="s">
        <v>21</v>
      </c>
      <c r="L97" s="397" t="s">
        <v>21</v>
      </c>
      <c r="M97" s="820"/>
      <c r="N97" s="397" t="s">
        <v>21</v>
      </c>
      <c r="O97" s="397" t="s">
        <v>21</v>
      </c>
      <c r="P97" s="397" t="s">
        <v>21</v>
      </c>
      <c r="Q97" s="64" t="s">
        <v>21</v>
      </c>
      <c r="R97" s="64" t="s">
        <v>21</v>
      </c>
      <c r="S97" s="64" t="s">
        <v>21</v>
      </c>
      <c r="T97" s="64" t="s">
        <v>21</v>
      </c>
      <c r="U97" s="64" t="s">
        <v>21</v>
      </c>
      <c r="V97" s="64" t="s">
        <v>21</v>
      </c>
      <c r="W97" s="64" t="s">
        <v>21</v>
      </c>
      <c r="X97" s="64" t="s">
        <v>21</v>
      </c>
      <c r="Y97" s="64" t="s">
        <v>21</v>
      </c>
      <c r="Z97" s="397" t="s">
        <v>21</v>
      </c>
      <c r="AA97" s="820"/>
      <c r="AB97" s="397" t="s">
        <v>21</v>
      </c>
      <c r="AC97" s="397" t="s">
        <v>21</v>
      </c>
      <c r="AD97" s="397" t="s">
        <v>21</v>
      </c>
      <c r="AE97" s="397" t="s">
        <v>21</v>
      </c>
      <c r="AF97" s="397" t="s">
        <v>21</v>
      </c>
      <c r="AG97" s="397" t="s">
        <v>21</v>
      </c>
    </row>
    <row r="98" spans="1:33">
      <c r="A98" s="397" t="s">
        <v>21</v>
      </c>
      <c r="B98" s="397" t="s">
        <v>21</v>
      </c>
      <c r="C98" s="397" t="s">
        <v>21</v>
      </c>
      <c r="D98" s="397"/>
      <c r="E98" s="820"/>
      <c r="F98" s="64"/>
      <c r="G98" s="820"/>
      <c r="J98" s="397" t="s">
        <v>21</v>
      </c>
      <c r="K98" s="397" t="s">
        <v>21</v>
      </c>
      <c r="L98" s="397" t="s">
        <v>21</v>
      </c>
      <c r="M98" s="820"/>
      <c r="N98" s="397" t="s">
        <v>21</v>
      </c>
      <c r="O98" s="397" t="s">
        <v>21</v>
      </c>
      <c r="P98" s="397" t="s">
        <v>21</v>
      </c>
      <c r="Q98" s="64" t="s">
        <v>21</v>
      </c>
      <c r="R98" s="64" t="s">
        <v>21</v>
      </c>
      <c r="S98" s="64" t="s">
        <v>21</v>
      </c>
      <c r="T98" s="64" t="s">
        <v>21</v>
      </c>
      <c r="U98" s="64" t="s">
        <v>21</v>
      </c>
      <c r="V98" s="64" t="s">
        <v>21</v>
      </c>
      <c r="W98" s="64" t="s">
        <v>21</v>
      </c>
      <c r="X98" s="64" t="s">
        <v>21</v>
      </c>
      <c r="Y98" s="64" t="s">
        <v>21</v>
      </c>
      <c r="Z98" s="397" t="s">
        <v>21</v>
      </c>
      <c r="AA98" s="820"/>
      <c r="AB98" s="397" t="s">
        <v>21</v>
      </c>
      <c r="AC98" s="397" t="s">
        <v>21</v>
      </c>
      <c r="AD98" s="397" t="s">
        <v>21</v>
      </c>
      <c r="AE98" s="397" t="s">
        <v>21</v>
      </c>
      <c r="AF98" s="397" t="s">
        <v>21</v>
      </c>
      <c r="AG98" s="397" t="s">
        <v>21</v>
      </c>
    </row>
    <row r="99" spans="1:33">
      <c r="A99" s="397" t="s">
        <v>21</v>
      </c>
      <c r="B99" s="397" t="s">
        <v>21</v>
      </c>
      <c r="C99" s="397" t="s">
        <v>21</v>
      </c>
      <c r="D99" s="397"/>
      <c r="E99" s="820"/>
      <c r="F99" s="64"/>
      <c r="G99" s="820"/>
      <c r="J99" s="397" t="s">
        <v>21</v>
      </c>
      <c r="K99" s="397" t="s">
        <v>21</v>
      </c>
      <c r="L99" s="397" t="s">
        <v>21</v>
      </c>
      <c r="M99" s="820"/>
      <c r="N99" s="397" t="s">
        <v>21</v>
      </c>
      <c r="O99" s="397" t="s">
        <v>21</v>
      </c>
      <c r="P99" s="397" t="s">
        <v>21</v>
      </c>
      <c r="Q99" s="64" t="s">
        <v>21</v>
      </c>
      <c r="R99" s="64" t="s">
        <v>21</v>
      </c>
      <c r="S99" s="64" t="s">
        <v>21</v>
      </c>
      <c r="T99" s="64" t="s">
        <v>21</v>
      </c>
      <c r="U99" s="64" t="s">
        <v>21</v>
      </c>
      <c r="V99" s="64" t="s">
        <v>21</v>
      </c>
      <c r="W99" s="64" t="s">
        <v>21</v>
      </c>
      <c r="X99" s="64" t="s">
        <v>21</v>
      </c>
      <c r="Y99" s="64" t="s">
        <v>21</v>
      </c>
      <c r="Z99" s="397" t="s">
        <v>21</v>
      </c>
      <c r="AA99" s="820"/>
      <c r="AB99" s="397" t="s">
        <v>21</v>
      </c>
      <c r="AC99" s="397" t="s">
        <v>21</v>
      </c>
      <c r="AD99" s="397" t="s">
        <v>21</v>
      </c>
      <c r="AE99" s="397" t="s">
        <v>21</v>
      </c>
      <c r="AF99" s="397" t="s">
        <v>21</v>
      </c>
      <c r="AG99" s="397" t="s">
        <v>21</v>
      </c>
    </row>
    <row r="100" spans="1:33">
      <c r="A100" s="397" t="s">
        <v>21</v>
      </c>
      <c r="B100" s="397" t="s">
        <v>21</v>
      </c>
      <c r="C100" s="397" t="s">
        <v>21</v>
      </c>
      <c r="D100" s="397"/>
      <c r="E100" s="820"/>
      <c r="F100" s="64"/>
      <c r="G100" s="820"/>
      <c r="J100" s="397" t="s">
        <v>21</v>
      </c>
      <c r="K100" s="397" t="s">
        <v>21</v>
      </c>
      <c r="L100" s="397" t="s">
        <v>21</v>
      </c>
      <c r="M100" s="820"/>
      <c r="N100" s="397" t="s">
        <v>21</v>
      </c>
      <c r="O100" s="397" t="s">
        <v>21</v>
      </c>
      <c r="P100" s="397" t="s">
        <v>21</v>
      </c>
      <c r="Q100" s="64" t="s">
        <v>21</v>
      </c>
      <c r="R100" s="64" t="s">
        <v>21</v>
      </c>
      <c r="S100" s="64" t="s">
        <v>21</v>
      </c>
      <c r="T100" s="64" t="s">
        <v>21</v>
      </c>
      <c r="U100" s="64" t="s">
        <v>21</v>
      </c>
      <c r="V100" s="64" t="s">
        <v>21</v>
      </c>
      <c r="W100" s="64" t="s">
        <v>21</v>
      </c>
      <c r="X100" s="64" t="s">
        <v>21</v>
      </c>
      <c r="Y100" s="64" t="s">
        <v>21</v>
      </c>
      <c r="Z100" s="397" t="s">
        <v>21</v>
      </c>
      <c r="AA100" s="820"/>
      <c r="AB100" s="397" t="s">
        <v>21</v>
      </c>
      <c r="AC100" s="397" t="s">
        <v>21</v>
      </c>
      <c r="AD100" s="397" t="s">
        <v>21</v>
      </c>
      <c r="AE100" s="397" t="s">
        <v>21</v>
      </c>
      <c r="AF100" s="397" t="s">
        <v>21</v>
      </c>
      <c r="AG100" s="397" t="s">
        <v>21</v>
      </c>
    </row>
    <row r="101" spans="1:33">
      <c r="A101" s="397" t="s">
        <v>21</v>
      </c>
      <c r="B101" s="397" t="s">
        <v>21</v>
      </c>
      <c r="C101" s="397" t="s">
        <v>21</v>
      </c>
      <c r="D101" s="397"/>
      <c r="E101" s="820"/>
      <c r="F101" s="64"/>
      <c r="G101" s="820"/>
      <c r="J101" s="397" t="s">
        <v>21</v>
      </c>
      <c r="K101" s="397" t="s">
        <v>21</v>
      </c>
      <c r="L101" s="397" t="s">
        <v>21</v>
      </c>
      <c r="M101" s="820"/>
      <c r="N101" s="397" t="s">
        <v>21</v>
      </c>
      <c r="O101" s="397" t="s">
        <v>21</v>
      </c>
      <c r="P101" s="397" t="s">
        <v>21</v>
      </c>
      <c r="Q101" s="64" t="s">
        <v>21</v>
      </c>
      <c r="R101" s="64" t="s">
        <v>21</v>
      </c>
      <c r="S101" s="64" t="s">
        <v>21</v>
      </c>
      <c r="T101" s="64" t="s">
        <v>21</v>
      </c>
      <c r="U101" s="64" t="s">
        <v>21</v>
      </c>
      <c r="V101" s="64" t="s">
        <v>21</v>
      </c>
      <c r="W101" s="64" t="s">
        <v>21</v>
      </c>
      <c r="X101" s="64" t="s">
        <v>21</v>
      </c>
      <c r="Y101" s="64" t="s">
        <v>21</v>
      </c>
      <c r="Z101" s="397" t="s">
        <v>21</v>
      </c>
      <c r="AA101" s="820"/>
      <c r="AB101" s="397" t="s">
        <v>21</v>
      </c>
      <c r="AC101" s="397" t="s">
        <v>21</v>
      </c>
      <c r="AD101" s="397" t="s">
        <v>21</v>
      </c>
      <c r="AE101" s="397" t="s">
        <v>21</v>
      </c>
      <c r="AF101" s="397" t="s">
        <v>21</v>
      </c>
      <c r="AG101" s="397" t="s">
        <v>21</v>
      </c>
    </row>
    <row r="102" spans="1:33">
      <c r="A102" s="397" t="s">
        <v>21</v>
      </c>
      <c r="B102" s="397" t="s">
        <v>21</v>
      </c>
      <c r="C102" s="397" t="s">
        <v>21</v>
      </c>
      <c r="D102" s="397"/>
      <c r="E102" s="820"/>
      <c r="F102" s="64"/>
      <c r="G102" s="820"/>
      <c r="J102" s="397" t="s">
        <v>21</v>
      </c>
      <c r="K102" s="397" t="s">
        <v>21</v>
      </c>
      <c r="L102" s="397" t="s">
        <v>21</v>
      </c>
      <c r="M102" s="820"/>
      <c r="N102" s="397" t="s">
        <v>21</v>
      </c>
      <c r="O102" s="397" t="s">
        <v>21</v>
      </c>
      <c r="P102" s="397" t="s">
        <v>21</v>
      </c>
      <c r="Q102" s="64" t="s">
        <v>21</v>
      </c>
      <c r="R102" s="64" t="s">
        <v>21</v>
      </c>
      <c r="S102" s="64" t="s">
        <v>21</v>
      </c>
      <c r="T102" s="64" t="s">
        <v>21</v>
      </c>
      <c r="U102" s="64" t="s">
        <v>21</v>
      </c>
      <c r="V102" s="64" t="s">
        <v>21</v>
      </c>
      <c r="W102" s="64" t="s">
        <v>21</v>
      </c>
      <c r="X102" s="64" t="s">
        <v>21</v>
      </c>
      <c r="Y102" s="64" t="s">
        <v>21</v>
      </c>
      <c r="Z102" s="397" t="s">
        <v>21</v>
      </c>
      <c r="AA102" s="820"/>
      <c r="AB102" s="397" t="s">
        <v>21</v>
      </c>
      <c r="AC102" s="397" t="s">
        <v>21</v>
      </c>
      <c r="AD102" s="397" t="s">
        <v>21</v>
      </c>
      <c r="AE102" s="397" t="s">
        <v>21</v>
      </c>
      <c r="AF102" s="397" t="s">
        <v>21</v>
      </c>
      <c r="AG102" s="397" t="s">
        <v>21</v>
      </c>
    </row>
    <row r="103" spans="1:33">
      <c r="A103" s="397" t="s">
        <v>21</v>
      </c>
      <c r="B103" s="397" t="s">
        <v>21</v>
      </c>
      <c r="C103" s="397" t="s">
        <v>21</v>
      </c>
      <c r="D103" s="397"/>
      <c r="E103" s="820"/>
      <c r="F103" s="64"/>
      <c r="G103" s="820"/>
      <c r="J103" s="397" t="s">
        <v>21</v>
      </c>
      <c r="K103" s="397" t="s">
        <v>21</v>
      </c>
      <c r="L103" s="397" t="s">
        <v>21</v>
      </c>
      <c r="M103" s="820"/>
      <c r="N103" s="397" t="s">
        <v>21</v>
      </c>
      <c r="O103" s="397" t="s">
        <v>21</v>
      </c>
      <c r="P103" s="397" t="s">
        <v>21</v>
      </c>
      <c r="Q103" s="64" t="s">
        <v>21</v>
      </c>
      <c r="R103" s="64" t="s">
        <v>21</v>
      </c>
      <c r="S103" s="64" t="s">
        <v>21</v>
      </c>
      <c r="T103" s="64" t="s">
        <v>21</v>
      </c>
      <c r="U103" s="64" t="s">
        <v>21</v>
      </c>
      <c r="V103" s="64" t="s">
        <v>21</v>
      </c>
      <c r="W103" s="64" t="s">
        <v>21</v>
      </c>
      <c r="X103" s="64" t="s">
        <v>21</v>
      </c>
      <c r="Y103" s="64" t="s">
        <v>21</v>
      </c>
      <c r="Z103" s="397" t="s">
        <v>21</v>
      </c>
      <c r="AA103" s="820"/>
      <c r="AB103" s="397" t="s">
        <v>21</v>
      </c>
      <c r="AC103" s="397" t="s">
        <v>21</v>
      </c>
      <c r="AD103" s="397" t="s">
        <v>21</v>
      </c>
      <c r="AE103" s="397" t="s">
        <v>21</v>
      </c>
      <c r="AF103" s="397" t="s">
        <v>21</v>
      </c>
      <c r="AG103" s="397" t="s">
        <v>21</v>
      </c>
    </row>
    <row r="104" spans="1:33">
      <c r="A104" s="397" t="s">
        <v>21</v>
      </c>
      <c r="B104" s="397" t="s">
        <v>21</v>
      </c>
      <c r="C104" s="397" t="s">
        <v>21</v>
      </c>
      <c r="D104" s="397"/>
      <c r="E104" s="820"/>
      <c r="F104" s="64"/>
      <c r="G104" s="820"/>
      <c r="J104" s="397" t="s">
        <v>21</v>
      </c>
      <c r="K104" s="397" t="s">
        <v>21</v>
      </c>
      <c r="L104" s="397" t="s">
        <v>21</v>
      </c>
      <c r="M104" s="820"/>
      <c r="N104" s="397" t="s">
        <v>21</v>
      </c>
      <c r="O104" s="397" t="s">
        <v>21</v>
      </c>
      <c r="P104" s="397" t="s">
        <v>21</v>
      </c>
      <c r="Q104" s="64" t="s">
        <v>21</v>
      </c>
      <c r="R104" s="64" t="s">
        <v>21</v>
      </c>
      <c r="S104" s="64" t="s">
        <v>21</v>
      </c>
      <c r="T104" s="64" t="s">
        <v>21</v>
      </c>
      <c r="U104" s="64" t="s">
        <v>21</v>
      </c>
      <c r="V104" s="64" t="s">
        <v>21</v>
      </c>
      <c r="W104" s="64" t="s">
        <v>21</v>
      </c>
      <c r="X104" s="64" t="s">
        <v>21</v>
      </c>
      <c r="Y104" s="64" t="s">
        <v>21</v>
      </c>
      <c r="Z104" s="397" t="s">
        <v>21</v>
      </c>
      <c r="AA104" s="820"/>
      <c r="AB104" s="397" t="s">
        <v>21</v>
      </c>
      <c r="AC104" s="397" t="s">
        <v>21</v>
      </c>
      <c r="AD104" s="397" t="s">
        <v>21</v>
      </c>
      <c r="AE104" s="397" t="s">
        <v>21</v>
      </c>
      <c r="AF104" s="397" t="s">
        <v>21</v>
      </c>
      <c r="AG104" s="397" t="s">
        <v>21</v>
      </c>
    </row>
    <row r="105" spans="1:33">
      <c r="A105" s="397" t="s">
        <v>21</v>
      </c>
      <c r="B105" s="397" t="s">
        <v>21</v>
      </c>
      <c r="C105" s="397" t="s">
        <v>21</v>
      </c>
      <c r="D105" s="397"/>
      <c r="E105" s="820"/>
      <c r="F105" s="64"/>
      <c r="G105" s="820"/>
      <c r="J105" s="397" t="s">
        <v>21</v>
      </c>
      <c r="K105" s="397" t="s">
        <v>21</v>
      </c>
      <c r="L105" s="397" t="s">
        <v>21</v>
      </c>
      <c r="M105" s="820"/>
      <c r="N105" s="397" t="s">
        <v>21</v>
      </c>
      <c r="O105" s="397" t="s">
        <v>21</v>
      </c>
      <c r="P105" s="397" t="s">
        <v>21</v>
      </c>
      <c r="Q105" s="64" t="s">
        <v>21</v>
      </c>
      <c r="R105" s="64" t="s">
        <v>21</v>
      </c>
      <c r="S105" s="64" t="s">
        <v>21</v>
      </c>
      <c r="T105" s="64" t="s">
        <v>21</v>
      </c>
      <c r="U105" s="64" t="s">
        <v>21</v>
      </c>
      <c r="V105" s="64" t="s">
        <v>21</v>
      </c>
      <c r="W105" s="64" t="s">
        <v>21</v>
      </c>
      <c r="X105" s="64" t="s">
        <v>21</v>
      </c>
      <c r="Y105" s="64" t="s">
        <v>21</v>
      </c>
      <c r="Z105" s="397" t="s">
        <v>21</v>
      </c>
      <c r="AA105" s="820"/>
      <c r="AB105" s="397" t="s">
        <v>21</v>
      </c>
      <c r="AC105" s="397" t="s">
        <v>21</v>
      </c>
      <c r="AD105" s="397" t="s">
        <v>21</v>
      </c>
      <c r="AE105" s="397" t="s">
        <v>21</v>
      </c>
      <c r="AF105" s="397" t="s">
        <v>21</v>
      </c>
      <c r="AG105" s="397" t="s">
        <v>21</v>
      </c>
    </row>
    <row r="106" spans="1:33">
      <c r="A106" s="397" t="s">
        <v>21</v>
      </c>
      <c r="B106" s="397" t="s">
        <v>21</v>
      </c>
      <c r="C106" s="397" t="s">
        <v>21</v>
      </c>
      <c r="D106" s="397"/>
      <c r="E106" s="820"/>
      <c r="F106" s="64"/>
      <c r="G106" s="820"/>
      <c r="J106" s="397" t="s">
        <v>21</v>
      </c>
      <c r="K106" s="397" t="s">
        <v>21</v>
      </c>
      <c r="L106" s="397" t="s">
        <v>21</v>
      </c>
      <c r="M106" s="820"/>
      <c r="N106" s="397" t="s">
        <v>21</v>
      </c>
      <c r="O106" s="397" t="s">
        <v>21</v>
      </c>
      <c r="P106" s="397" t="s">
        <v>21</v>
      </c>
      <c r="Q106" s="64" t="s">
        <v>21</v>
      </c>
      <c r="R106" s="64" t="s">
        <v>21</v>
      </c>
      <c r="S106" s="64" t="s">
        <v>21</v>
      </c>
      <c r="T106" s="64" t="s">
        <v>21</v>
      </c>
      <c r="U106" s="64" t="s">
        <v>21</v>
      </c>
      <c r="V106" s="64" t="s">
        <v>21</v>
      </c>
      <c r="W106" s="64" t="s">
        <v>21</v>
      </c>
      <c r="X106" s="64" t="s">
        <v>21</v>
      </c>
      <c r="Y106" s="64" t="s">
        <v>21</v>
      </c>
      <c r="Z106" s="397" t="s">
        <v>21</v>
      </c>
      <c r="AA106" s="820"/>
      <c r="AB106" s="397" t="s">
        <v>21</v>
      </c>
      <c r="AC106" s="397" t="s">
        <v>21</v>
      </c>
      <c r="AD106" s="397" t="s">
        <v>21</v>
      </c>
      <c r="AE106" s="397" t="s">
        <v>21</v>
      </c>
      <c r="AF106" s="397" t="s">
        <v>21</v>
      </c>
      <c r="AG106" s="397" t="s">
        <v>21</v>
      </c>
    </row>
    <row r="107" spans="1:33">
      <c r="A107" s="397" t="s">
        <v>21</v>
      </c>
      <c r="B107" s="397" t="s">
        <v>21</v>
      </c>
      <c r="C107" s="397" t="s">
        <v>21</v>
      </c>
      <c r="D107" s="397"/>
      <c r="E107" s="820"/>
      <c r="F107" s="64"/>
      <c r="G107" s="820"/>
      <c r="J107" s="397" t="s">
        <v>21</v>
      </c>
      <c r="K107" s="397" t="s">
        <v>21</v>
      </c>
      <c r="L107" s="397" t="s">
        <v>21</v>
      </c>
      <c r="M107" s="820"/>
      <c r="N107" s="397" t="s">
        <v>21</v>
      </c>
      <c r="O107" s="397" t="s">
        <v>21</v>
      </c>
      <c r="P107" s="397" t="s">
        <v>21</v>
      </c>
      <c r="Q107" s="64" t="s">
        <v>21</v>
      </c>
      <c r="R107" s="64" t="s">
        <v>21</v>
      </c>
      <c r="S107" s="64" t="s">
        <v>21</v>
      </c>
      <c r="T107" s="64" t="s">
        <v>21</v>
      </c>
      <c r="U107" s="64" t="s">
        <v>21</v>
      </c>
      <c r="V107" s="64" t="s">
        <v>21</v>
      </c>
      <c r="W107" s="64" t="s">
        <v>21</v>
      </c>
      <c r="X107" s="64" t="s">
        <v>21</v>
      </c>
      <c r="Y107" s="64" t="s">
        <v>21</v>
      </c>
      <c r="Z107" s="397" t="s">
        <v>21</v>
      </c>
      <c r="AA107" s="820"/>
      <c r="AB107" s="397" t="s">
        <v>21</v>
      </c>
      <c r="AC107" s="397" t="s">
        <v>21</v>
      </c>
      <c r="AD107" s="397" t="s">
        <v>21</v>
      </c>
      <c r="AE107" s="397" t="s">
        <v>21</v>
      </c>
      <c r="AF107" s="397" t="s">
        <v>21</v>
      </c>
      <c r="AG107" s="397" t="s">
        <v>21</v>
      </c>
    </row>
    <row r="108" spans="1:33">
      <c r="A108" s="397" t="s">
        <v>21</v>
      </c>
      <c r="B108" s="397" t="s">
        <v>21</v>
      </c>
      <c r="C108" s="397" t="s">
        <v>21</v>
      </c>
      <c r="D108" s="397"/>
      <c r="E108" s="820"/>
      <c r="F108" s="64"/>
      <c r="G108" s="820"/>
      <c r="J108" s="397" t="s">
        <v>21</v>
      </c>
      <c r="K108" s="397" t="s">
        <v>21</v>
      </c>
      <c r="L108" s="397" t="s">
        <v>21</v>
      </c>
      <c r="M108" s="820"/>
      <c r="N108" s="397" t="s">
        <v>21</v>
      </c>
      <c r="O108" s="397" t="s">
        <v>21</v>
      </c>
      <c r="P108" s="397" t="s">
        <v>21</v>
      </c>
      <c r="Q108" s="64" t="s">
        <v>21</v>
      </c>
      <c r="R108" s="64" t="s">
        <v>21</v>
      </c>
      <c r="S108" s="64" t="s">
        <v>21</v>
      </c>
      <c r="T108" s="64" t="s">
        <v>21</v>
      </c>
      <c r="U108" s="64" t="s">
        <v>21</v>
      </c>
      <c r="V108" s="64" t="s">
        <v>21</v>
      </c>
      <c r="W108" s="64" t="s">
        <v>21</v>
      </c>
      <c r="X108" s="64" t="s">
        <v>21</v>
      </c>
      <c r="Y108" s="64" t="s">
        <v>21</v>
      </c>
      <c r="Z108" s="397" t="s">
        <v>21</v>
      </c>
      <c r="AA108" s="820"/>
      <c r="AB108" s="397" t="s">
        <v>21</v>
      </c>
      <c r="AC108" s="397" t="s">
        <v>21</v>
      </c>
      <c r="AD108" s="397" t="s">
        <v>21</v>
      </c>
      <c r="AE108" s="397" t="s">
        <v>21</v>
      </c>
      <c r="AF108" s="397" t="s">
        <v>21</v>
      </c>
      <c r="AG108" s="397" t="s">
        <v>21</v>
      </c>
    </row>
    <row r="109" spans="1:33">
      <c r="A109" s="397" t="s">
        <v>21</v>
      </c>
      <c r="B109" s="397" t="s">
        <v>21</v>
      </c>
      <c r="C109" s="397" t="s">
        <v>21</v>
      </c>
      <c r="D109" s="397"/>
      <c r="E109" s="820"/>
      <c r="F109" s="64"/>
      <c r="G109" s="820"/>
      <c r="J109" s="397" t="s">
        <v>21</v>
      </c>
      <c r="K109" s="397" t="s">
        <v>21</v>
      </c>
      <c r="L109" s="397" t="s">
        <v>21</v>
      </c>
      <c r="M109" s="820"/>
      <c r="N109" s="397" t="s">
        <v>21</v>
      </c>
      <c r="O109" s="397" t="s">
        <v>21</v>
      </c>
      <c r="P109" s="397" t="s">
        <v>21</v>
      </c>
      <c r="Q109" s="64" t="s">
        <v>21</v>
      </c>
      <c r="R109" s="64" t="s">
        <v>21</v>
      </c>
      <c r="S109" s="64" t="s">
        <v>21</v>
      </c>
      <c r="T109" s="64" t="s">
        <v>21</v>
      </c>
      <c r="U109" s="64" t="s">
        <v>21</v>
      </c>
      <c r="V109" s="64" t="s">
        <v>21</v>
      </c>
      <c r="W109" s="64" t="s">
        <v>21</v>
      </c>
      <c r="X109" s="64" t="s">
        <v>21</v>
      </c>
      <c r="Y109" s="64" t="s">
        <v>21</v>
      </c>
      <c r="Z109" s="397" t="s">
        <v>21</v>
      </c>
      <c r="AA109" s="820"/>
      <c r="AB109" s="397" t="s">
        <v>21</v>
      </c>
      <c r="AC109" s="397" t="s">
        <v>21</v>
      </c>
      <c r="AD109" s="397" t="s">
        <v>21</v>
      </c>
      <c r="AE109" s="397" t="s">
        <v>21</v>
      </c>
      <c r="AF109" s="397" t="s">
        <v>21</v>
      </c>
      <c r="AG109" s="397" t="s">
        <v>21</v>
      </c>
    </row>
    <row r="110" spans="1:33">
      <c r="A110" s="397" t="s">
        <v>21</v>
      </c>
      <c r="B110" s="397" t="s">
        <v>21</v>
      </c>
      <c r="C110" s="397" t="s">
        <v>21</v>
      </c>
      <c r="D110" s="397"/>
      <c r="E110" s="820"/>
      <c r="F110" s="64"/>
      <c r="G110" s="820"/>
      <c r="J110" s="397" t="s">
        <v>21</v>
      </c>
      <c r="K110" s="397" t="s">
        <v>21</v>
      </c>
      <c r="L110" s="397" t="s">
        <v>21</v>
      </c>
      <c r="M110" s="820"/>
      <c r="N110" s="397" t="s">
        <v>21</v>
      </c>
      <c r="O110" s="397" t="s">
        <v>21</v>
      </c>
      <c r="P110" s="397" t="s">
        <v>21</v>
      </c>
      <c r="Q110" s="64" t="s">
        <v>21</v>
      </c>
      <c r="R110" s="64" t="s">
        <v>21</v>
      </c>
      <c r="S110" s="64" t="s">
        <v>21</v>
      </c>
      <c r="T110" s="64" t="s">
        <v>21</v>
      </c>
      <c r="U110" s="64" t="s">
        <v>21</v>
      </c>
      <c r="V110" s="64" t="s">
        <v>21</v>
      </c>
      <c r="W110" s="64" t="s">
        <v>21</v>
      </c>
      <c r="X110" s="64" t="s">
        <v>21</v>
      </c>
      <c r="Y110" s="64" t="s">
        <v>21</v>
      </c>
      <c r="Z110" s="397" t="s">
        <v>21</v>
      </c>
      <c r="AA110" s="820"/>
      <c r="AB110" s="397" t="s">
        <v>21</v>
      </c>
      <c r="AC110" s="397" t="s">
        <v>21</v>
      </c>
      <c r="AD110" s="397" t="s">
        <v>21</v>
      </c>
      <c r="AE110" s="397" t="s">
        <v>21</v>
      </c>
      <c r="AF110" s="397" t="s">
        <v>21</v>
      </c>
      <c r="AG110" s="397" t="s">
        <v>21</v>
      </c>
    </row>
    <row r="111" spans="1:33">
      <c r="A111" s="397" t="s">
        <v>21</v>
      </c>
      <c r="B111" s="397" t="s">
        <v>21</v>
      </c>
      <c r="C111" s="397" t="s">
        <v>21</v>
      </c>
      <c r="D111" s="397"/>
      <c r="E111" s="820"/>
      <c r="F111" s="64"/>
      <c r="G111" s="820"/>
      <c r="J111" s="397" t="s">
        <v>21</v>
      </c>
      <c r="K111" s="397" t="s">
        <v>21</v>
      </c>
      <c r="L111" s="397" t="s">
        <v>21</v>
      </c>
      <c r="M111" s="820"/>
      <c r="N111" s="397" t="s">
        <v>21</v>
      </c>
      <c r="O111" s="397" t="s">
        <v>21</v>
      </c>
      <c r="P111" s="397" t="s">
        <v>21</v>
      </c>
      <c r="Q111" s="64" t="s">
        <v>21</v>
      </c>
      <c r="R111" s="64" t="s">
        <v>21</v>
      </c>
      <c r="S111" s="64" t="s">
        <v>21</v>
      </c>
      <c r="T111" s="64" t="s">
        <v>21</v>
      </c>
      <c r="U111" s="64" t="s">
        <v>21</v>
      </c>
      <c r="V111" s="64" t="s">
        <v>21</v>
      </c>
      <c r="W111" s="64" t="s">
        <v>21</v>
      </c>
      <c r="X111" s="64" t="s">
        <v>21</v>
      </c>
      <c r="Y111" s="64" t="s">
        <v>21</v>
      </c>
      <c r="Z111" s="397" t="s">
        <v>21</v>
      </c>
      <c r="AA111" s="820"/>
      <c r="AB111" s="397" t="s">
        <v>21</v>
      </c>
      <c r="AC111" s="397" t="s">
        <v>21</v>
      </c>
      <c r="AD111" s="397" t="s">
        <v>21</v>
      </c>
      <c r="AE111" s="397" t="s">
        <v>21</v>
      </c>
      <c r="AF111" s="397" t="s">
        <v>21</v>
      </c>
      <c r="AG111" s="397" t="s">
        <v>21</v>
      </c>
    </row>
    <row r="112" spans="1:33">
      <c r="A112" s="397" t="s">
        <v>21</v>
      </c>
      <c r="B112" s="397" t="s">
        <v>21</v>
      </c>
      <c r="C112" s="397" t="s">
        <v>21</v>
      </c>
      <c r="D112" s="397"/>
      <c r="E112" s="820"/>
      <c r="F112" s="64"/>
      <c r="G112" s="820"/>
      <c r="J112" s="397" t="s">
        <v>21</v>
      </c>
      <c r="K112" s="397" t="s">
        <v>21</v>
      </c>
      <c r="L112" s="397" t="s">
        <v>21</v>
      </c>
      <c r="M112" s="820"/>
      <c r="N112" s="397" t="s">
        <v>21</v>
      </c>
      <c r="O112" s="397" t="s">
        <v>21</v>
      </c>
      <c r="P112" s="397" t="s">
        <v>21</v>
      </c>
      <c r="Q112" s="64" t="s">
        <v>21</v>
      </c>
      <c r="R112" s="64" t="s">
        <v>21</v>
      </c>
      <c r="S112" s="64" t="s">
        <v>21</v>
      </c>
      <c r="T112" s="64" t="s">
        <v>21</v>
      </c>
      <c r="U112" s="64" t="s">
        <v>21</v>
      </c>
      <c r="V112" s="64" t="s">
        <v>21</v>
      </c>
      <c r="W112" s="64" t="s">
        <v>21</v>
      </c>
      <c r="X112" s="64" t="s">
        <v>21</v>
      </c>
      <c r="Y112" s="64" t="s">
        <v>21</v>
      </c>
      <c r="Z112" s="397" t="s">
        <v>21</v>
      </c>
      <c r="AA112" s="820"/>
      <c r="AB112" s="397" t="s">
        <v>21</v>
      </c>
      <c r="AC112" s="397" t="s">
        <v>21</v>
      </c>
      <c r="AD112" s="397" t="s">
        <v>21</v>
      </c>
      <c r="AE112" s="397" t="s">
        <v>21</v>
      </c>
      <c r="AF112" s="397" t="s">
        <v>21</v>
      </c>
      <c r="AG112" s="397" t="s">
        <v>21</v>
      </c>
    </row>
    <row r="113" spans="1:33">
      <c r="A113" s="397" t="s">
        <v>21</v>
      </c>
      <c r="B113" s="397" t="s">
        <v>21</v>
      </c>
      <c r="C113" s="397" t="s">
        <v>21</v>
      </c>
      <c r="D113" s="397"/>
      <c r="E113" s="820"/>
      <c r="F113" s="64"/>
      <c r="G113" s="820"/>
      <c r="J113" s="397" t="s">
        <v>21</v>
      </c>
      <c r="K113" s="397" t="s">
        <v>21</v>
      </c>
      <c r="L113" s="397" t="s">
        <v>21</v>
      </c>
      <c r="M113" s="820"/>
      <c r="N113" s="397" t="s">
        <v>21</v>
      </c>
      <c r="O113" s="397" t="s">
        <v>21</v>
      </c>
      <c r="P113" s="397" t="s">
        <v>21</v>
      </c>
      <c r="Q113" s="64" t="s">
        <v>21</v>
      </c>
      <c r="R113" s="64" t="s">
        <v>21</v>
      </c>
      <c r="S113" s="64" t="s">
        <v>21</v>
      </c>
      <c r="T113" s="64" t="s">
        <v>21</v>
      </c>
      <c r="U113" s="64" t="s">
        <v>21</v>
      </c>
      <c r="V113" s="64" t="s">
        <v>21</v>
      </c>
      <c r="W113" s="64" t="s">
        <v>21</v>
      </c>
      <c r="X113" s="64" t="s">
        <v>21</v>
      </c>
      <c r="Y113" s="64" t="s">
        <v>21</v>
      </c>
      <c r="Z113" s="397" t="s">
        <v>21</v>
      </c>
      <c r="AA113" s="820"/>
      <c r="AB113" s="397" t="s">
        <v>21</v>
      </c>
      <c r="AC113" s="397" t="s">
        <v>21</v>
      </c>
      <c r="AD113" s="397" t="s">
        <v>21</v>
      </c>
      <c r="AE113" s="397" t="s">
        <v>21</v>
      </c>
      <c r="AF113" s="397" t="s">
        <v>21</v>
      </c>
      <c r="AG113" s="397" t="s">
        <v>21</v>
      </c>
    </row>
    <row r="114" spans="1:33">
      <c r="A114" s="397" t="s">
        <v>21</v>
      </c>
      <c r="B114" s="397" t="s">
        <v>21</v>
      </c>
      <c r="C114" s="397" t="s">
        <v>21</v>
      </c>
      <c r="D114" s="397"/>
      <c r="E114" s="820"/>
      <c r="F114" s="64"/>
      <c r="G114" s="820"/>
      <c r="J114" s="397" t="s">
        <v>21</v>
      </c>
      <c r="K114" s="397" t="s">
        <v>21</v>
      </c>
      <c r="L114" s="397" t="s">
        <v>21</v>
      </c>
      <c r="M114" s="820"/>
      <c r="N114" s="397" t="s">
        <v>21</v>
      </c>
      <c r="O114" s="397" t="s">
        <v>21</v>
      </c>
      <c r="P114" s="397" t="s">
        <v>21</v>
      </c>
      <c r="Q114" s="64" t="s">
        <v>21</v>
      </c>
      <c r="R114" s="64" t="s">
        <v>21</v>
      </c>
      <c r="S114" s="64" t="s">
        <v>21</v>
      </c>
      <c r="T114" s="64" t="s">
        <v>21</v>
      </c>
      <c r="U114" s="64" t="s">
        <v>21</v>
      </c>
      <c r="V114" s="64" t="s">
        <v>21</v>
      </c>
      <c r="W114" s="64" t="s">
        <v>21</v>
      </c>
      <c r="X114" s="64" t="s">
        <v>21</v>
      </c>
      <c r="Y114" s="64" t="s">
        <v>21</v>
      </c>
      <c r="Z114" s="397" t="s">
        <v>21</v>
      </c>
      <c r="AA114" s="820"/>
      <c r="AB114" s="397" t="s">
        <v>21</v>
      </c>
      <c r="AC114" s="397" t="s">
        <v>21</v>
      </c>
      <c r="AD114" s="397" t="s">
        <v>21</v>
      </c>
      <c r="AE114" s="397" t="s">
        <v>21</v>
      </c>
      <c r="AF114" s="397" t="s">
        <v>21</v>
      </c>
      <c r="AG114" s="397" t="s">
        <v>21</v>
      </c>
    </row>
    <row r="115" spans="1:33">
      <c r="A115" s="397" t="s">
        <v>21</v>
      </c>
      <c r="B115" s="397" t="s">
        <v>21</v>
      </c>
      <c r="C115" s="397" t="s">
        <v>21</v>
      </c>
      <c r="D115" s="397"/>
      <c r="E115" s="820"/>
      <c r="F115" s="64"/>
      <c r="G115" s="820"/>
      <c r="J115" s="397" t="s">
        <v>21</v>
      </c>
      <c r="K115" s="397" t="s">
        <v>21</v>
      </c>
      <c r="L115" s="397" t="s">
        <v>21</v>
      </c>
      <c r="M115" s="820"/>
      <c r="N115" s="397" t="s">
        <v>21</v>
      </c>
      <c r="O115" s="397" t="s">
        <v>21</v>
      </c>
      <c r="P115" s="397" t="s">
        <v>21</v>
      </c>
      <c r="Q115" s="64" t="s">
        <v>21</v>
      </c>
      <c r="R115" s="64" t="s">
        <v>21</v>
      </c>
      <c r="S115" s="64" t="s">
        <v>21</v>
      </c>
      <c r="T115" s="403" t="s">
        <v>21</v>
      </c>
      <c r="U115" s="64" t="s">
        <v>21</v>
      </c>
      <c r="V115" s="64" t="s">
        <v>21</v>
      </c>
      <c r="W115" s="64" t="s">
        <v>21</v>
      </c>
      <c r="X115" s="64" t="s">
        <v>21</v>
      </c>
      <c r="Y115" s="64" t="s">
        <v>21</v>
      </c>
      <c r="Z115" s="397" t="s">
        <v>21</v>
      </c>
      <c r="AA115" s="820"/>
      <c r="AB115" s="397" t="s">
        <v>21</v>
      </c>
      <c r="AC115" s="397" t="s">
        <v>21</v>
      </c>
      <c r="AD115" s="397" t="s">
        <v>21</v>
      </c>
      <c r="AE115" s="397" t="s">
        <v>21</v>
      </c>
      <c r="AF115" s="397" t="s">
        <v>21</v>
      </c>
      <c r="AG115" s="397" t="s">
        <v>21</v>
      </c>
    </row>
    <row r="116" spans="1:33">
      <c r="A116" s="397" t="s">
        <v>21</v>
      </c>
      <c r="B116" s="397" t="s">
        <v>21</v>
      </c>
      <c r="C116" s="397" t="s">
        <v>21</v>
      </c>
      <c r="D116" s="397"/>
      <c r="E116" s="820"/>
      <c r="F116" s="64"/>
      <c r="G116" s="820"/>
      <c r="J116" s="397" t="s">
        <v>21</v>
      </c>
      <c r="K116" s="397" t="s">
        <v>21</v>
      </c>
      <c r="L116" s="397" t="s">
        <v>21</v>
      </c>
      <c r="M116" s="820"/>
      <c r="N116" s="397" t="s">
        <v>21</v>
      </c>
      <c r="O116" s="397" t="s">
        <v>21</v>
      </c>
      <c r="P116" s="397" t="s">
        <v>21</v>
      </c>
      <c r="Q116" s="64" t="s">
        <v>21</v>
      </c>
      <c r="R116" s="64" t="s">
        <v>21</v>
      </c>
      <c r="S116" s="64" t="s">
        <v>21</v>
      </c>
      <c r="T116" s="64" t="s">
        <v>21</v>
      </c>
      <c r="U116" s="64" t="s">
        <v>21</v>
      </c>
      <c r="V116" s="64" t="s">
        <v>21</v>
      </c>
      <c r="W116" s="64" t="s">
        <v>21</v>
      </c>
      <c r="X116" s="64" t="s">
        <v>21</v>
      </c>
      <c r="Y116" s="64" t="s">
        <v>21</v>
      </c>
      <c r="Z116" s="397" t="s">
        <v>21</v>
      </c>
      <c r="AA116" s="820"/>
      <c r="AB116" s="397" t="s">
        <v>21</v>
      </c>
      <c r="AC116" s="397" t="s">
        <v>21</v>
      </c>
      <c r="AD116" s="397" t="s">
        <v>21</v>
      </c>
      <c r="AE116" s="397" t="s">
        <v>21</v>
      </c>
      <c r="AF116" s="397" t="s">
        <v>21</v>
      </c>
      <c r="AG116" s="397" t="s">
        <v>21</v>
      </c>
    </row>
    <row r="117" spans="1:33">
      <c r="A117" s="397" t="s">
        <v>21</v>
      </c>
      <c r="B117" s="397" t="s">
        <v>21</v>
      </c>
      <c r="C117" s="397" t="s">
        <v>21</v>
      </c>
      <c r="D117" s="397"/>
      <c r="E117" s="820"/>
      <c r="F117" s="64"/>
      <c r="G117" s="820"/>
      <c r="J117" s="397" t="s">
        <v>21</v>
      </c>
      <c r="K117" s="397" t="s">
        <v>21</v>
      </c>
      <c r="L117" s="397" t="s">
        <v>21</v>
      </c>
      <c r="M117" s="820"/>
      <c r="N117" s="397" t="s">
        <v>21</v>
      </c>
      <c r="O117" s="397" t="s">
        <v>21</v>
      </c>
      <c r="P117" s="397" t="s">
        <v>21</v>
      </c>
      <c r="Q117" s="64" t="s">
        <v>21</v>
      </c>
      <c r="R117" s="64" t="s">
        <v>21</v>
      </c>
      <c r="S117" s="64" t="s">
        <v>21</v>
      </c>
      <c r="T117" s="64" t="s">
        <v>21</v>
      </c>
      <c r="U117" s="64" t="s">
        <v>21</v>
      </c>
      <c r="V117" s="64" t="s">
        <v>21</v>
      </c>
      <c r="W117" s="64" t="s">
        <v>21</v>
      </c>
      <c r="X117" s="64" t="s">
        <v>21</v>
      </c>
      <c r="Y117" s="64" t="s">
        <v>21</v>
      </c>
      <c r="Z117" s="397" t="s">
        <v>21</v>
      </c>
      <c r="AA117" s="820"/>
      <c r="AB117" s="397" t="s">
        <v>21</v>
      </c>
      <c r="AC117" s="397" t="s">
        <v>21</v>
      </c>
      <c r="AD117" s="397" t="s">
        <v>21</v>
      </c>
      <c r="AE117" s="397" t="s">
        <v>21</v>
      </c>
      <c r="AF117" s="397" t="s">
        <v>21</v>
      </c>
      <c r="AG117" s="397" t="s">
        <v>21</v>
      </c>
    </row>
    <row r="118" spans="1:33">
      <c r="A118" s="397" t="s">
        <v>21</v>
      </c>
      <c r="B118" s="397" t="s">
        <v>21</v>
      </c>
      <c r="C118" s="397" t="s">
        <v>21</v>
      </c>
      <c r="D118" s="397"/>
      <c r="E118" s="820"/>
      <c r="F118" s="64"/>
      <c r="G118" s="820"/>
      <c r="J118" s="397" t="s">
        <v>21</v>
      </c>
      <c r="K118" s="397" t="s">
        <v>21</v>
      </c>
      <c r="L118" s="397" t="s">
        <v>21</v>
      </c>
      <c r="M118" s="820"/>
      <c r="N118" s="397" t="s">
        <v>21</v>
      </c>
      <c r="O118" s="397" t="s">
        <v>21</v>
      </c>
      <c r="P118" s="397" t="s">
        <v>21</v>
      </c>
      <c r="Q118" s="64" t="s">
        <v>21</v>
      </c>
      <c r="R118" s="64" t="s">
        <v>21</v>
      </c>
      <c r="S118" s="64" t="s">
        <v>21</v>
      </c>
      <c r="T118" s="64" t="s">
        <v>21</v>
      </c>
      <c r="U118" s="64" t="s">
        <v>21</v>
      </c>
      <c r="V118" s="64" t="s">
        <v>21</v>
      </c>
      <c r="W118" s="64" t="s">
        <v>21</v>
      </c>
      <c r="X118" s="64" t="s">
        <v>21</v>
      </c>
      <c r="Y118" s="64" t="s">
        <v>21</v>
      </c>
      <c r="Z118" s="397" t="s">
        <v>21</v>
      </c>
      <c r="AA118" s="820"/>
      <c r="AB118" s="397" t="s">
        <v>21</v>
      </c>
      <c r="AC118" s="397" t="s">
        <v>21</v>
      </c>
      <c r="AD118" s="397" t="s">
        <v>21</v>
      </c>
      <c r="AE118" s="397" t="s">
        <v>21</v>
      </c>
      <c r="AF118" s="397" t="s">
        <v>21</v>
      </c>
      <c r="AG118" s="397" t="s">
        <v>21</v>
      </c>
    </row>
    <row r="119" spans="1:33">
      <c r="A119" s="397" t="s">
        <v>21</v>
      </c>
      <c r="B119" s="397" t="s">
        <v>21</v>
      </c>
      <c r="C119" s="397" t="s">
        <v>21</v>
      </c>
      <c r="D119" s="397"/>
      <c r="E119" s="820"/>
      <c r="F119" s="64"/>
      <c r="G119" s="820"/>
      <c r="J119" s="397" t="s">
        <v>21</v>
      </c>
      <c r="K119" s="397" t="s">
        <v>21</v>
      </c>
      <c r="L119" s="397" t="s">
        <v>21</v>
      </c>
      <c r="M119" s="820"/>
      <c r="N119" s="397" t="s">
        <v>21</v>
      </c>
      <c r="O119" s="397" t="s">
        <v>21</v>
      </c>
      <c r="P119" s="397" t="s">
        <v>21</v>
      </c>
      <c r="Q119" s="397" t="s">
        <v>21</v>
      </c>
      <c r="R119" s="397" t="s">
        <v>21</v>
      </c>
      <c r="S119" s="397" t="s">
        <v>21</v>
      </c>
      <c r="T119" s="397" t="s">
        <v>21</v>
      </c>
      <c r="U119" s="64" t="s">
        <v>21</v>
      </c>
      <c r="V119" s="64" t="s">
        <v>21</v>
      </c>
      <c r="W119" s="64" t="s">
        <v>21</v>
      </c>
      <c r="X119" s="64" t="s">
        <v>21</v>
      </c>
      <c r="Y119" s="64" t="s">
        <v>21</v>
      </c>
      <c r="Z119" s="397" t="s">
        <v>21</v>
      </c>
      <c r="AA119" s="820"/>
      <c r="AB119" s="397" t="s">
        <v>21</v>
      </c>
      <c r="AC119" s="397" t="s">
        <v>21</v>
      </c>
      <c r="AD119" s="397" t="s">
        <v>21</v>
      </c>
      <c r="AE119" s="397" t="s">
        <v>21</v>
      </c>
      <c r="AF119" s="397" t="s">
        <v>21</v>
      </c>
      <c r="AG119" s="397" t="s">
        <v>21</v>
      </c>
    </row>
    <row r="120" spans="1:33">
      <c r="A120" s="397" t="s">
        <v>21</v>
      </c>
      <c r="B120" s="397" t="s">
        <v>21</v>
      </c>
      <c r="C120" s="397" t="s">
        <v>21</v>
      </c>
      <c r="D120" s="397"/>
      <c r="E120" s="820"/>
      <c r="F120" s="64"/>
      <c r="G120" s="820"/>
      <c r="J120" s="397" t="s">
        <v>21</v>
      </c>
      <c r="K120" s="397" t="s">
        <v>21</v>
      </c>
      <c r="L120" s="397" t="s">
        <v>21</v>
      </c>
      <c r="M120" s="820"/>
      <c r="N120" s="397" t="s">
        <v>21</v>
      </c>
      <c r="O120" s="397" t="s">
        <v>21</v>
      </c>
      <c r="P120" s="397" t="s">
        <v>21</v>
      </c>
      <c r="Q120" s="64" t="s">
        <v>21</v>
      </c>
      <c r="R120" s="64" t="s">
        <v>21</v>
      </c>
      <c r="S120" s="64" t="s">
        <v>21</v>
      </c>
      <c r="T120" s="64" t="s">
        <v>21</v>
      </c>
      <c r="U120" s="64" t="s">
        <v>21</v>
      </c>
      <c r="V120" s="64" t="s">
        <v>21</v>
      </c>
      <c r="W120" s="64" t="s">
        <v>21</v>
      </c>
      <c r="X120" s="64" t="s">
        <v>21</v>
      </c>
      <c r="Y120" s="64" t="s">
        <v>21</v>
      </c>
      <c r="Z120" s="397" t="s">
        <v>21</v>
      </c>
      <c r="AA120" s="820"/>
      <c r="AB120" s="397" t="s">
        <v>21</v>
      </c>
      <c r="AC120" s="397" t="s">
        <v>21</v>
      </c>
      <c r="AD120" s="397" t="s">
        <v>21</v>
      </c>
      <c r="AE120" s="397" t="s">
        <v>21</v>
      </c>
      <c r="AF120" s="397" t="s">
        <v>21</v>
      </c>
      <c r="AG120" s="397" t="s">
        <v>21</v>
      </c>
    </row>
    <row r="121" spans="1:33">
      <c r="A121" s="397" t="s">
        <v>21</v>
      </c>
      <c r="B121" s="397" t="s">
        <v>21</v>
      </c>
      <c r="C121" s="397" t="s">
        <v>21</v>
      </c>
      <c r="D121" s="397"/>
      <c r="E121" s="820"/>
      <c r="F121" s="64"/>
      <c r="G121" s="820"/>
      <c r="J121" s="397" t="s">
        <v>21</v>
      </c>
      <c r="K121" s="397" t="s">
        <v>21</v>
      </c>
      <c r="L121" s="397" t="s">
        <v>21</v>
      </c>
      <c r="M121" s="820"/>
      <c r="N121" s="397" t="s">
        <v>21</v>
      </c>
      <c r="O121" s="397" t="s">
        <v>21</v>
      </c>
      <c r="P121" s="397" t="s">
        <v>21</v>
      </c>
      <c r="Q121" s="64" t="s">
        <v>21</v>
      </c>
      <c r="R121" s="64" t="s">
        <v>21</v>
      </c>
      <c r="S121" s="64" t="s">
        <v>21</v>
      </c>
      <c r="T121" s="64" t="s">
        <v>21</v>
      </c>
      <c r="U121" s="64" t="s">
        <v>21</v>
      </c>
      <c r="V121" s="64" t="s">
        <v>21</v>
      </c>
      <c r="W121" s="64" t="s">
        <v>21</v>
      </c>
      <c r="X121" s="64" t="s">
        <v>21</v>
      </c>
      <c r="Y121" s="64" t="s">
        <v>21</v>
      </c>
      <c r="Z121" s="397" t="s">
        <v>21</v>
      </c>
      <c r="AA121" s="820"/>
      <c r="AB121" s="397" t="s">
        <v>21</v>
      </c>
      <c r="AC121" s="397" t="s">
        <v>21</v>
      </c>
      <c r="AD121" s="397" t="s">
        <v>21</v>
      </c>
      <c r="AE121" s="397" t="s">
        <v>21</v>
      </c>
      <c r="AF121" s="397" t="s">
        <v>21</v>
      </c>
      <c r="AG121" s="397" t="s">
        <v>21</v>
      </c>
    </row>
    <row r="122" spans="1:33">
      <c r="A122" s="397" t="s">
        <v>21</v>
      </c>
      <c r="B122" s="397" t="s">
        <v>21</v>
      </c>
      <c r="C122" s="397" t="s">
        <v>21</v>
      </c>
      <c r="D122" s="397"/>
      <c r="E122" s="820"/>
      <c r="F122" s="64"/>
      <c r="G122" s="820"/>
      <c r="J122" s="397" t="s">
        <v>21</v>
      </c>
      <c r="K122" s="397" t="s">
        <v>21</v>
      </c>
      <c r="L122" s="397" t="s">
        <v>21</v>
      </c>
      <c r="M122" s="820"/>
      <c r="N122" s="397" t="s">
        <v>21</v>
      </c>
      <c r="O122" s="397" t="s">
        <v>21</v>
      </c>
      <c r="P122" s="397" t="s">
        <v>21</v>
      </c>
      <c r="Q122" s="64" t="s">
        <v>21</v>
      </c>
      <c r="R122" s="64" t="s">
        <v>21</v>
      </c>
      <c r="S122" s="64" t="s">
        <v>21</v>
      </c>
      <c r="T122" s="64" t="s">
        <v>21</v>
      </c>
      <c r="U122" s="64" t="s">
        <v>21</v>
      </c>
      <c r="V122" s="64" t="s">
        <v>21</v>
      </c>
      <c r="W122" s="64" t="s">
        <v>21</v>
      </c>
      <c r="X122" s="64" t="s">
        <v>21</v>
      </c>
      <c r="Y122" s="64" t="s">
        <v>21</v>
      </c>
      <c r="Z122" s="397" t="s">
        <v>21</v>
      </c>
      <c r="AA122" s="820"/>
      <c r="AB122" s="397" t="s">
        <v>21</v>
      </c>
      <c r="AC122" s="397" t="s">
        <v>21</v>
      </c>
      <c r="AD122" s="397" t="s">
        <v>21</v>
      </c>
      <c r="AE122" s="397" t="s">
        <v>21</v>
      </c>
      <c r="AF122" s="397" t="s">
        <v>21</v>
      </c>
      <c r="AG122" s="397" t="s">
        <v>21</v>
      </c>
    </row>
    <row r="123" spans="1:33">
      <c r="A123" s="397" t="s">
        <v>21</v>
      </c>
      <c r="B123" s="397" t="s">
        <v>21</v>
      </c>
      <c r="C123" s="397" t="s">
        <v>21</v>
      </c>
      <c r="D123" s="397"/>
      <c r="E123" s="820"/>
      <c r="F123" s="64"/>
      <c r="G123" s="820"/>
      <c r="J123" s="397" t="s">
        <v>21</v>
      </c>
      <c r="K123" s="397" t="s">
        <v>21</v>
      </c>
      <c r="L123" s="397" t="s">
        <v>21</v>
      </c>
      <c r="M123" s="820"/>
      <c r="N123" s="397" t="s">
        <v>21</v>
      </c>
      <c r="O123" s="397" t="s">
        <v>21</v>
      </c>
      <c r="P123" s="397" t="s">
        <v>21</v>
      </c>
      <c r="Q123" s="64" t="s">
        <v>21</v>
      </c>
      <c r="R123" s="64" t="s">
        <v>21</v>
      </c>
      <c r="S123" s="64" t="s">
        <v>21</v>
      </c>
      <c r="T123" s="64" t="s">
        <v>21</v>
      </c>
      <c r="U123" s="64" t="s">
        <v>21</v>
      </c>
      <c r="V123" s="64" t="s">
        <v>21</v>
      </c>
      <c r="W123" s="64" t="s">
        <v>21</v>
      </c>
      <c r="X123" s="64" t="s">
        <v>21</v>
      </c>
      <c r="Y123" s="64" t="s">
        <v>21</v>
      </c>
      <c r="Z123" s="397" t="s">
        <v>21</v>
      </c>
      <c r="AA123" s="820"/>
      <c r="AB123" s="397" t="s">
        <v>21</v>
      </c>
      <c r="AC123" s="397" t="s">
        <v>21</v>
      </c>
      <c r="AD123" s="397" t="s">
        <v>21</v>
      </c>
      <c r="AE123" s="397" t="s">
        <v>21</v>
      </c>
      <c r="AF123" s="397" t="s">
        <v>21</v>
      </c>
      <c r="AG123" s="397" t="s">
        <v>21</v>
      </c>
    </row>
    <row r="124" spans="1:33">
      <c r="A124" s="397" t="s">
        <v>21</v>
      </c>
      <c r="B124" s="397" t="s">
        <v>21</v>
      </c>
      <c r="C124" s="397" t="s">
        <v>21</v>
      </c>
      <c r="D124" s="397"/>
      <c r="E124" s="820"/>
      <c r="F124" s="64"/>
      <c r="G124" s="820"/>
      <c r="J124" s="397" t="s">
        <v>21</v>
      </c>
      <c r="K124" s="397" t="s">
        <v>21</v>
      </c>
      <c r="L124" s="397" t="s">
        <v>21</v>
      </c>
      <c r="M124" s="820"/>
      <c r="N124" s="397" t="s">
        <v>21</v>
      </c>
      <c r="O124" s="397" t="s">
        <v>21</v>
      </c>
      <c r="P124" s="397" t="s">
        <v>21</v>
      </c>
      <c r="Q124" s="64" t="s">
        <v>21</v>
      </c>
      <c r="R124" s="64" t="s">
        <v>21</v>
      </c>
      <c r="S124" s="64" t="s">
        <v>21</v>
      </c>
      <c r="T124" s="64" t="s">
        <v>21</v>
      </c>
      <c r="U124" s="64" t="s">
        <v>21</v>
      </c>
      <c r="V124" s="64" t="s">
        <v>21</v>
      </c>
      <c r="W124" s="64" t="s">
        <v>21</v>
      </c>
      <c r="X124" s="64" t="s">
        <v>21</v>
      </c>
      <c r="Y124" s="64" t="s">
        <v>21</v>
      </c>
      <c r="Z124" s="397" t="s">
        <v>21</v>
      </c>
      <c r="AA124" s="820"/>
      <c r="AB124" s="397" t="s">
        <v>21</v>
      </c>
      <c r="AC124" s="397" t="s">
        <v>21</v>
      </c>
      <c r="AD124" s="397" t="s">
        <v>21</v>
      </c>
      <c r="AE124" s="397" t="s">
        <v>21</v>
      </c>
      <c r="AF124" s="397" t="s">
        <v>21</v>
      </c>
      <c r="AG124" s="397" t="s">
        <v>21</v>
      </c>
    </row>
    <row r="125" spans="1:33">
      <c r="A125" s="397" t="s">
        <v>21</v>
      </c>
      <c r="B125" s="397" t="s">
        <v>21</v>
      </c>
      <c r="C125" s="397" t="s">
        <v>21</v>
      </c>
      <c r="D125" s="397"/>
      <c r="E125" s="820"/>
      <c r="F125" s="64"/>
      <c r="G125" s="820"/>
      <c r="J125" s="397" t="s">
        <v>21</v>
      </c>
      <c r="K125" s="397" t="s">
        <v>21</v>
      </c>
      <c r="L125" s="397" t="s">
        <v>21</v>
      </c>
      <c r="M125" s="820"/>
      <c r="N125" s="397" t="s">
        <v>21</v>
      </c>
      <c r="O125" s="397" t="s">
        <v>21</v>
      </c>
      <c r="P125" s="397" t="s">
        <v>21</v>
      </c>
      <c r="Q125" s="64" t="s">
        <v>21</v>
      </c>
      <c r="R125" s="64" t="s">
        <v>21</v>
      </c>
      <c r="S125" s="64" t="s">
        <v>21</v>
      </c>
      <c r="T125" s="64" t="s">
        <v>21</v>
      </c>
      <c r="U125" s="64" t="s">
        <v>21</v>
      </c>
      <c r="V125" s="64" t="s">
        <v>21</v>
      </c>
      <c r="W125" s="64" t="s">
        <v>21</v>
      </c>
      <c r="X125" s="64" t="s">
        <v>21</v>
      </c>
      <c r="Y125" s="64" t="s">
        <v>21</v>
      </c>
      <c r="Z125" s="397" t="s">
        <v>21</v>
      </c>
      <c r="AA125" s="820"/>
      <c r="AB125" s="397" t="s">
        <v>21</v>
      </c>
      <c r="AC125" s="397" t="s">
        <v>21</v>
      </c>
      <c r="AD125" s="397" t="s">
        <v>21</v>
      </c>
      <c r="AE125" s="397" t="s">
        <v>21</v>
      </c>
      <c r="AF125" s="397" t="s">
        <v>21</v>
      </c>
      <c r="AG125" s="397" t="s">
        <v>21</v>
      </c>
    </row>
    <row r="126" spans="1:33">
      <c r="A126" s="397" t="s">
        <v>21</v>
      </c>
      <c r="B126" s="397" t="s">
        <v>21</v>
      </c>
      <c r="C126" s="397" t="s">
        <v>21</v>
      </c>
      <c r="D126" s="397"/>
      <c r="E126" s="820"/>
      <c r="F126" s="64"/>
      <c r="G126" s="820"/>
      <c r="J126" s="397" t="s">
        <v>21</v>
      </c>
      <c r="K126" s="397" t="s">
        <v>21</v>
      </c>
      <c r="L126" s="397" t="s">
        <v>21</v>
      </c>
      <c r="M126" s="820"/>
      <c r="N126" s="397" t="s">
        <v>21</v>
      </c>
      <c r="O126" s="397" t="s">
        <v>21</v>
      </c>
      <c r="P126" s="397" t="s">
        <v>21</v>
      </c>
      <c r="Q126" s="64" t="s">
        <v>21</v>
      </c>
      <c r="R126" s="64" t="s">
        <v>21</v>
      </c>
      <c r="S126" s="64" t="s">
        <v>21</v>
      </c>
      <c r="T126" s="64" t="s">
        <v>21</v>
      </c>
      <c r="U126" s="64" t="s">
        <v>21</v>
      </c>
      <c r="V126" s="64" t="s">
        <v>21</v>
      </c>
      <c r="W126" s="64" t="s">
        <v>21</v>
      </c>
      <c r="X126" s="64" t="s">
        <v>21</v>
      </c>
      <c r="Y126" s="64" t="s">
        <v>21</v>
      </c>
      <c r="Z126" s="397" t="s">
        <v>21</v>
      </c>
      <c r="AA126" s="820"/>
      <c r="AB126" s="397" t="s">
        <v>21</v>
      </c>
      <c r="AC126" s="397" t="s">
        <v>21</v>
      </c>
      <c r="AD126" s="397" t="s">
        <v>21</v>
      </c>
      <c r="AE126" s="397" t="s">
        <v>21</v>
      </c>
      <c r="AF126" s="397" t="s">
        <v>21</v>
      </c>
      <c r="AG126" s="397" t="s">
        <v>21</v>
      </c>
    </row>
    <row r="127" spans="1:33">
      <c r="A127" s="397" t="s">
        <v>21</v>
      </c>
      <c r="B127" s="397" t="s">
        <v>21</v>
      </c>
      <c r="C127" s="397" t="s">
        <v>21</v>
      </c>
      <c r="D127" s="397"/>
      <c r="E127" s="820"/>
      <c r="F127" s="64"/>
      <c r="G127" s="820"/>
      <c r="J127" s="397" t="s">
        <v>21</v>
      </c>
      <c r="K127" s="397" t="s">
        <v>21</v>
      </c>
      <c r="L127" s="397" t="s">
        <v>21</v>
      </c>
      <c r="M127" s="820"/>
      <c r="N127" s="397" t="s">
        <v>21</v>
      </c>
      <c r="O127" s="397" t="s">
        <v>21</v>
      </c>
      <c r="P127" s="397" t="s">
        <v>21</v>
      </c>
      <c r="Q127" s="64" t="s">
        <v>21</v>
      </c>
      <c r="R127" s="64" t="s">
        <v>21</v>
      </c>
      <c r="S127" s="64" t="s">
        <v>21</v>
      </c>
      <c r="T127" s="64" t="s">
        <v>21</v>
      </c>
      <c r="U127" s="64" t="s">
        <v>21</v>
      </c>
      <c r="V127" s="64" t="s">
        <v>21</v>
      </c>
      <c r="W127" s="64" t="s">
        <v>21</v>
      </c>
      <c r="X127" s="64" t="s">
        <v>21</v>
      </c>
      <c r="Y127" s="64" t="s">
        <v>21</v>
      </c>
      <c r="Z127" s="397" t="s">
        <v>21</v>
      </c>
      <c r="AA127" s="820"/>
      <c r="AB127" s="397" t="s">
        <v>21</v>
      </c>
      <c r="AC127" s="397" t="s">
        <v>21</v>
      </c>
      <c r="AD127" s="397" t="s">
        <v>21</v>
      </c>
      <c r="AE127" s="397" t="s">
        <v>21</v>
      </c>
      <c r="AF127" s="397" t="s">
        <v>21</v>
      </c>
      <c r="AG127" s="397" t="s">
        <v>21</v>
      </c>
    </row>
    <row r="128" spans="1:33">
      <c r="A128" s="397" t="s">
        <v>21</v>
      </c>
      <c r="B128" s="397" t="s">
        <v>21</v>
      </c>
      <c r="C128" s="397" t="s">
        <v>21</v>
      </c>
      <c r="D128" s="397"/>
      <c r="E128" s="820"/>
      <c r="F128" s="64"/>
      <c r="G128" s="820"/>
      <c r="J128" s="397" t="s">
        <v>21</v>
      </c>
      <c r="K128" s="397" t="s">
        <v>21</v>
      </c>
      <c r="L128" s="397" t="s">
        <v>21</v>
      </c>
      <c r="M128" s="820"/>
      <c r="N128" s="397" t="s">
        <v>21</v>
      </c>
      <c r="O128" s="397" t="s">
        <v>21</v>
      </c>
      <c r="P128" s="397" t="s">
        <v>21</v>
      </c>
      <c r="Q128" s="64" t="s">
        <v>21</v>
      </c>
      <c r="R128" s="64" t="s">
        <v>21</v>
      </c>
      <c r="S128" s="64" t="s">
        <v>21</v>
      </c>
      <c r="T128" s="64" t="s">
        <v>21</v>
      </c>
      <c r="U128" s="64" t="s">
        <v>21</v>
      </c>
      <c r="V128" s="64" t="s">
        <v>21</v>
      </c>
      <c r="W128" s="64" t="s">
        <v>21</v>
      </c>
      <c r="X128" s="64" t="s">
        <v>21</v>
      </c>
      <c r="Y128" s="64" t="s">
        <v>21</v>
      </c>
      <c r="Z128" s="397" t="s">
        <v>21</v>
      </c>
      <c r="AA128" s="820"/>
      <c r="AB128" s="397" t="s">
        <v>21</v>
      </c>
      <c r="AC128" s="397" t="s">
        <v>21</v>
      </c>
      <c r="AD128" s="397" t="s">
        <v>21</v>
      </c>
      <c r="AE128" s="397" t="s">
        <v>21</v>
      </c>
      <c r="AF128" s="397" t="s">
        <v>21</v>
      </c>
      <c r="AG128" s="397" t="s">
        <v>21</v>
      </c>
    </row>
    <row r="129" spans="1:33">
      <c r="A129" s="397" t="s">
        <v>21</v>
      </c>
      <c r="B129" s="397" t="s">
        <v>21</v>
      </c>
      <c r="C129" s="397" t="s">
        <v>21</v>
      </c>
      <c r="D129" s="397"/>
      <c r="E129" s="820"/>
      <c r="F129" s="64"/>
      <c r="G129" s="820"/>
      <c r="J129" s="397" t="s">
        <v>21</v>
      </c>
      <c r="K129" s="397" t="s">
        <v>21</v>
      </c>
      <c r="L129" s="397" t="s">
        <v>21</v>
      </c>
      <c r="M129" s="820"/>
      <c r="N129" s="397" t="s">
        <v>21</v>
      </c>
      <c r="O129" s="397" t="s">
        <v>21</v>
      </c>
      <c r="P129" s="397" t="s">
        <v>21</v>
      </c>
      <c r="Q129" s="64" t="s">
        <v>21</v>
      </c>
      <c r="R129" s="64" t="s">
        <v>21</v>
      </c>
      <c r="S129" s="64" t="s">
        <v>21</v>
      </c>
      <c r="T129" s="64" t="s">
        <v>21</v>
      </c>
      <c r="U129" s="64" t="s">
        <v>21</v>
      </c>
      <c r="V129" s="64" t="s">
        <v>21</v>
      </c>
      <c r="W129" s="64" t="s">
        <v>21</v>
      </c>
      <c r="X129" s="64" t="s">
        <v>21</v>
      </c>
      <c r="Y129" s="64" t="s">
        <v>21</v>
      </c>
      <c r="Z129" s="397" t="s">
        <v>21</v>
      </c>
      <c r="AA129" s="820"/>
      <c r="AB129" s="397" t="s">
        <v>21</v>
      </c>
      <c r="AC129" s="397" t="s">
        <v>21</v>
      </c>
      <c r="AD129" s="397" t="s">
        <v>21</v>
      </c>
      <c r="AE129" s="397" t="s">
        <v>21</v>
      </c>
      <c r="AF129" s="397" t="s">
        <v>21</v>
      </c>
      <c r="AG129" s="397" t="s">
        <v>21</v>
      </c>
    </row>
    <row r="130" spans="1:33">
      <c r="A130" s="397" t="s">
        <v>21</v>
      </c>
      <c r="B130" s="397" t="s">
        <v>21</v>
      </c>
      <c r="C130" s="397" t="s">
        <v>21</v>
      </c>
      <c r="D130" s="397"/>
      <c r="E130" s="820"/>
      <c r="F130" s="64"/>
      <c r="G130" s="820"/>
      <c r="J130" s="397" t="s">
        <v>21</v>
      </c>
      <c r="K130" s="397" t="s">
        <v>21</v>
      </c>
      <c r="L130" s="397" t="s">
        <v>21</v>
      </c>
      <c r="M130" s="820"/>
      <c r="N130" s="397" t="s">
        <v>21</v>
      </c>
      <c r="O130" s="397" t="s">
        <v>21</v>
      </c>
      <c r="P130" s="397" t="s">
        <v>21</v>
      </c>
      <c r="Q130" s="64" t="s">
        <v>21</v>
      </c>
      <c r="R130" s="64" t="s">
        <v>21</v>
      </c>
      <c r="S130" s="64" t="s">
        <v>21</v>
      </c>
      <c r="T130" s="64" t="s">
        <v>21</v>
      </c>
      <c r="U130" s="64" t="s">
        <v>21</v>
      </c>
      <c r="V130" s="64" t="s">
        <v>21</v>
      </c>
      <c r="W130" s="64" t="s">
        <v>21</v>
      </c>
      <c r="X130" s="64" t="s">
        <v>21</v>
      </c>
      <c r="Y130" s="64" t="s">
        <v>21</v>
      </c>
      <c r="Z130" s="397" t="s">
        <v>21</v>
      </c>
      <c r="AA130" s="820"/>
      <c r="AB130" s="397" t="s">
        <v>21</v>
      </c>
      <c r="AC130" s="397" t="s">
        <v>21</v>
      </c>
      <c r="AD130" s="397" t="s">
        <v>21</v>
      </c>
      <c r="AE130" s="397" t="s">
        <v>21</v>
      </c>
      <c r="AF130" s="397" t="s">
        <v>21</v>
      </c>
      <c r="AG130" s="397" t="s">
        <v>21</v>
      </c>
    </row>
    <row r="131" spans="1:33">
      <c r="A131" s="397" t="s">
        <v>21</v>
      </c>
      <c r="B131" s="397" t="s">
        <v>21</v>
      </c>
      <c r="C131" s="397" t="s">
        <v>21</v>
      </c>
      <c r="D131" s="397"/>
      <c r="E131" s="820"/>
      <c r="F131" s="64"/>
      <c r="G131" s="820"/>
      <c r="J131" s="397" t="s">
        <v>21</v>
      </c>
      <c r="K131" s="397" t="s">
        <v>21</v>
      </c>
      <c r="L131" s="397" t="s">
        <v>21</v>
      </c>
      <c r="M131" s="820"/>
      <c r="N131" s="397" t="s">
        <v>21</v>
      </c>
      <c r="O131" s="397" t="s">
        <v>21</v>
      </c>
      <c r="P131" s="397" t="s">
        <v>21</v>
      </c>
      <c r="Q131" s="64" t="s">
        <v>21</v>
      </c>
      <c r="R131" s="64" t="s">
        <v>21</v>
      </c>
      <c r="S131" s="64" t="s">
        <v>21</v>
      </c>
      <c r="T131" s="64" t="s">
        <v>21</v>
      </c>
      <c r="U131" s="64" t="s">
        <v>21</v>
      </c>
      <c r="V131" s="64" t="s">
        <v>21</v>
      </c>
      <c r="W131" s="64" t="s">
        <v>21</v>
      </c>
      <c r="X131" s="64" t="s">
        <v>21</v>
      </c>
      <c r="Y131" s="64" t="s">
        <v>21</v>
      </c>
      <c r="Z131" s="397" t="s">
        <v>21</v>
      </c>
      <c r="AA131" s="820"/>
      <c r="AB131" s="397" t="s">
        <v>21</v>
      </c>
      <c r="AC131" s="397" t="s">
        <v>21</v>
      </c>
      <c r="AD131" s="397" t="s">
        <v>21</v>
      </c>
      <c r="AE131" s="397" t="s">
        <v>21</v>
      </c>
      <c r="AF131" s="397" t="s">
        <v>21</v>
      </c>
      <c r="AG131" s="397" t="s">
        <v>21</v>
      </c>
    </row>
    <row r="132" spans="1:33">
      <c r="A132" s="397" t="s">
        <v>21</v>
      </c>
      <c r="B132" s="397" t="s">
        <v>21</v>
      </c>
      <c r="C132" s="397" t="s">
        <v>21</v>
      </c>
      <c r="D132" s="397"/>
      <c r="E132" s="820"/>
      <c r="F132" s="64"/>
      <c r="G132" s="820"/>
      <c r="J132" s="397" t="s">
        <v>21</v>
      </c>
      <c r="K132" s="397" t="s">
        <v>21</v>
      </c>
      <c r="L132" s="397" t="s">
        <v>21</v>
      </c>
      <c r="M132" s="820"/>
      <c r="N132" s="397" t="s">
        <v>21</v>
      </c>
      <c r="O132" s="397" t="s">
        <v>21</v>
      </c>
      <c r="P132" s="397" t="s">
        <v>21</v>
      </c>
      <c r="Q132" s="64" t="s">
        <v>21</v>
      </c>
      <c r="R132" s="64" t="s">
        <v>21</v>
      </c>
      <c r="S132" s="64" t="s">
        <v>21</v>
      </c>
      <c r="T132" s="64" t="s">
        <v>21</v>
      </c>
      <c r="U132" s="64" t="s">
        <v>21</v>
      </c>
      <c r="V132" s="64" t="s">
        <v>21</v>
      </c>
      <c r="W132" s="64" t="s">
        <v>21</v>
      </c>
      <c r="X132" s="64" t="s">
        <v>21</v>
      </c>
      <c r="Y132" s="64" t="s">
        <v>21</v>
      </c>
      <c r="Z132" s="397" t="s">
        <v>21</v>
      </c>
      <c r="AA132" s="820"/>
      <c r="AB132" s="397" t="s">
        <v>21</v>
      </c>
      <c r="AC132" s="397" t="s">
        <v>21</v>
      </c>
      <c r="AD132" s="397" t="s">
        <v>21</v>
      </c>
      <c r="AE132" s="397" t="s">
        <v>21</v>
      </c>
      <c r="AF132" s="397" t="s">
        <v>21</v>
      </c>
      <c r="AG132" s="397" t="s">
        <v>21</v>
      </c>
    </row>
    <row r="133" spans="1:33">
      <c r="A133" s="397" t="s">
        <v>21</v>
      </c>
      <c r="B133" s="397" t="s">
        <v>21</v>
      </c>
      <c r="C133" s="397" t="s">
        <v>21</v>
      </c>
      <c r="D133" s="397"/>
      <c r="E133" s="820"/>
      <c r="F133" s="64"/>
      <c r="G133" s="820"/>
      <c r="J133" s="397" t="s">
        <v>21</v>
      </c>
      <c r="K133" s="397" t="s">
        <v>21</v>
      </c>
      <c r="L133" s="397" t="s">
        <v>21</v>
      </c>
      <c r="M133" s="820"/>
      <c r="N133" s="397" t="s">
        <v>21</v>
      </c>
      <c r="O133" s="397" t="s">
        <v>21</v>
      </c>
      <c r="P133" s="397" t="s">
        <v>21</v>
      </c>
      <c r="Q133" s="64" t="s">
        <v>21</v>
      </c>
      <c r="R133" s="64" t="s">
        <v>21</v>
      </c>
      <c r="S133" s="64" t="s">
        <v>21</v>
      </c>
      <c r="T133" s="64" t="s">
        <v>21</v>
      </c>
      <c r="U133" s="64" t="s">
        <v>21</v>
      </c>
      <c r="V133" s="64" t="s">
        <v>21</v>
      </c>
      <c r="W133" s="64" t="s">
        <v>21</v>
      </c>
      <c r="X133" s="64" t="s">
        <v>21</v>
      </c>
      <c r="Y133" s="64" t="s">
        <v>21</v>
      </c>
      <c r="Z133" s="397" t="s">
        <v>21</v>
      </c>
      <c r="AA133" s="820"/>
      <c r="AB133" s="397" t="s">
        <v>21</v>
      </c>
      <c r="AC133" s="397" t="s">
        <v>21</v>
      </c>
      <c r="AD133" s="397" t="s">
        <v>21</v>
      </c>
      <c r="AE133" s="397" t="s">
        <v>21</v>
      </c>
      <c r="AF133" s="397" t="s">
        <v>21</v>
      </c>
      <c r="AG133" s="397" t="s">
        <v>21</v>
      </c>
    </row>
    <row r="134" spans="1:33">
      <c r="A134" s="397" t="s">
        <v>21</v>
      </c>
      <c r="B134" s="397" t="s">
        <v>21</v>
      </c>
      <c r="C134" s="397" t="s">
        <v>21</v>
      </c>
      <c r="D134" s="397"/>
      <c r="E134" s="820"/>
      <c r="F134" s="64"/>
      <c r="G134" s="820"/>
      <c r="J134" s="397" t="s">
        <v>21</v>
      </c>
      <c r="K134" s="397" t="s">
        <v>21</v>
      </c>
      <c r="L134" s="397" t="s">
        <v>21</v>
      </c>
      <c r="M134" s="820"/>
      <c r="N134" s="397" t="s">
        <v>21</v>
      </c>
      <c r="O134" s="397" t="s">
        <v>21</v>
      </c>
      <c r="P134" s="397" t="s">
        <v>21</v>
      </c>
      <c r="Q134" s="64" t="s">
        <v>21</v>
      </c>
      <c r="R134" s="64" t="s">
        <v>21</v>
      </c>
      <c r="S134" s="64" t="s">
        <v>21</v>
      </c>
      <c r="T134" s="64" t="s">
        <v>21</v>
      </c>
      <c r="U134" s="64" t="s">
        <v>21</v>
      </c>
      <c r="V134" s="64" t="s">
        <v>21</v>
      </c>
      <c r="W134" s="64" t="s">
        <v>21</v>
      </c>
      <c r="X134" s="64" t="s">
        <v>21</v>
      </c>
      <c r="Y134" s="64" t="s">
        <v>21</v>
      </c>
      <c r="Z134" s="397" t="s">
        <v>21</v>
      </c>
      <c r="AA134" s="820"/>
      <c r="AB134" s="397" t="s">
        <v>21</v>
      </c>
      <c r="AC134" s="397" t="s">
        <v>21</v>
      </c>
      <c r="AD134" s="397" t="s">
        <v>21</v>
      </c>
      <c r="AE134" s="397" t="s">
        <v>21</v>
      </c>
      <c r="AF134" s="397" t="s">
        <v>21</v>
      </c>
      <c r="AG134" s="397" t="s">
        <v>21</v>
      </c>
    </row>
    <row r="135" spans="1:33">
      <c r="A135" s="397" t="s">
        <v>21</v>
      </c>
      <c r="B135" s="397" t="s">
        <v>21</v>
      </c>
      <c r="C135" s="397" t="s">
        <v>21</v>
      </c>
      <c r="D135" s="397"/>
      <c r="E135" s="820"/>
      <c r="F135" s="64"/>
      <c r="G135" s="820"/>
      <c r="J135" s="397" t="s">
        <v>21</v>
      </c>
      <c r="K135" s="397" t="s">
        <v>21</v>
      </c>
      <c r="L135" s="397" t="s">
        <v>21</v>
      </c>
      <c r="M135" s="820"/>
      <c r="N135" s="397" t="s">
        <v>21</v>
      </c>
      <c r="O135" s="397" t="s">
        <v>21</v>
      </c>
      <c r="P135" s="397" t="s">
        <v>21</v>
      </c>
      <c r="Q135" s="64" t="s">
        <v>21</v>
      </c>
      <c r="R135" s="64" t="s">
        <v>21</v>
      </c>
      <c r="S135" s="64" t="s">
        <v>21</v>
      </c>
      <c r="T135" s="64" t="s">
        <v>21</v>
      </c>
      <c r="U135" s="64" t="s">
        <v>21</v>
      </c>
      <c r="V135" s="64" t="s">
        <v>21</v>
      </c>
      <c r="W135" s="64" t="s">
        <v>21</v>
      </c>
      <c r="X135" s="64" t="s">
        <v>21</v>
      </c>
      <c r="Y135" s="64" t="s">
        <v>21</v>
      </c>
      <c r="Z135" s="397" t="s">
        <v>21</v>
      </c>
      <c r="AA135" s="820"/>
      <c r="AB135" s="397" t="s">
        <v>21</v>
      </c>
      <c r="AC135" s="397" t="s">
        <v>21</v>
      </c>
      <c r="AD135" s="397" t="s">
        <v>21</v>
      </c>
      <c r="AE135" s="397" t="s">
        <v>21</v>
      </c>
      <c r="AF135" s="397" t="s">
        <v>21</v>
      </c>
      <c r="AG135" s="397" t="s">
        <v>21</v>
      </c>
    </row>
    <row r="136" spans="1:33">
      <c r="A136" s="397" t="s">
        <v>21</v>
      </c>
      <c r="B136" s="397" t="s">
        <v>21</v>
      </c>
      <c r="C136" s="397" t="s">
        <v>21</v>
      </c>
      <c r="D136" s="397"/>
      <c r="E136" s="820"/>
      <c r="F136" s="64"/>
      <c r="G136" s="820"/>
      <c r="J136" s="397" t="s">
        <v>21</v>
      </c>
      <c r="K136" s="397" t="s">
        <v>21</v>
      </c>
      <c r="L136" s="397" t="s">
        <v>21</v>
      </c>
      <c r="M136" s="820"/>
      <c r="N136" s="397" t="s">
        <v>21</v>
      </c>
      <c r="O136" s="397" t="s">
        <v>21</v>
      </c>
      <c r="P136" s="397" t="s">
        <v>21</v>
      </c>
      <c r="Q136" s="64" t="s">
        <v>21</v>
      </c>
      <c r="R136" s="64" t="s">
        <v>21</v>
      </c>
      <c r="S136" s="64" t="s">
        <v>21</v>
      </c>
      <c r="T136" s="64" t="s">
        <v>21</v>
      </c>
      <c r="U136" s="64" t="s">
        <v>21</v>
      </c>
      <c r="V136" s="64" t="s">
        <v>21</v>
      </c>
      <c r="W136" s="64" t="s">
        <v>21</v>
      </c>
      <c r="X136" s="64" t="s">
        <v>21</v>
      </c>
      <c r="Y136" s="64" t="s">
        <v>21</v>
      </c>
      <c r="Z136" s="397" t="s">
        <v>21</v>
      </c>
      <c r="AA136" s="820"/>
      <c r="AB136" s="397" t="s">
        <v>21</v>
      </c>
      <c r="AC136" s="397" t="s">
        <v>21</v>
      </c>
      <c r="AD136" s="397" t="s">
        <v>21</v>
      </c>
      <c r="AE136" s="397" t="s">
        <v>21</v>
      </c>
      <c r="AF136" s="397" t="s">
        <v>21</v>
      </c>
      <c r="AG136" s="397" t="s">
        <v>21</v>
      </c>
    </row>
    <row r="137" spans="1:33">
      <c r="A137" s="397" t="s">
        <v>21</v>
      </c>
      <c r="J137" s="397" t="s">
        <v>21</v>
      </c>
      <c r="K137" s="397" t="s">
        <v>21</v>
      </c>
      <c r="L137" s="397" t="s">
        <v>21</v>
      </c>
      <c r="M137" s="820"/>
      <c r="N137" s="397" t="s">
        <v>21</v>
      </c>
      <c r="O137" s="397" t="s">
        <v>21</v>
      </c>
      <c r="P137" s="397" t="s">
        <v>21</v>
      </c>
      <c r="Q137" s="64" t="s">
        <v>21</v>
      </c>
      <c r="R137" s="64" t="s">
        <v>21</v>
      </c>
      <c r="S137" s="64" t="s">
        <v>21</v>
      </c>
      <c r="T137" s="64" t="s">
        <v>21</v>
      </c>
      <c r="U137" s="64" t="s">
        <v>21</v>
      </c>
      <c r="V137" s="64" t="s">
        <v>21</v>
      </c>
      <c r="W137" s="64" t="s">
        <v>21</v>
      </c>
      <c r="X137" s="64" t="s">
        <v>21</v>
      </c>
      <c r="Y137" s="64" t="s">
        <v>21</v>
      </c>
      <c r="Z137" s="397" t="s">
        <v>21</v>
      </c>
      <c r="AA137" s="820"/>
      <c r="AB137" s="397" t="s">
        <v>21</v>
      </c>
      <c r="AC137" s="397" t="s">
        <v>21</v>
      </c>
      <c r="AD137" s="397" t="s">
        <v>21</v>
      </c>
      <c r="AE137" s="397" t="s">
        <v>21</v>
      </c>
      <c r="AF137" s="397" t="s">
        <v>21</v>
      </c>
      <c r="AG137" s="397" t="s">
        <v>21</v>
      </c>
    </row>
    <row r="138" spans="1:33">
      <c r="A138" s="397" t="s">
        <v>21</v>
      </c>
      <c r="J138" s="397" t="s">
        <v>21</v>
      </c>
      <c r="K138" s="397" t="s">
        <v>21</v>
      </c>
      <c r="L138" s="397" t="s">
        <v>21</v>
      </c>
      <c r="M138" s="820"/>
      <c r="N138" s="397" t="s">
        <v>21</v>
      </c>
      <c r="O138" s="397" t="s">
        <v>21</v>
      </c>
      <c r="P138" s="397" t="s">
        <v>21</v>
      </c>
      <c r="Q138" s="64" t="s">
        <v>21</v>
      </c>
      <c r="R138" s="64" t="s">
        <v>21</v>
      </c>
      <c r="S138" s="64" t="s">
        <v>21</v>
      </c>
      <c r="T138" s="64" t="s">
        <v>21</v>
      </c>
      <c r="U138" s="64" t="s">
        <v>21</v>
      </c>
      <c r="V138" s="64" t="s">
        <v>21</v>
      </c>
      <c r="W138" s="64" t="s">
        <v>21</v>
      </c>
      <c r="X138" s="64" t="s">
        <v>21</v>
      </c>
      <c r="Y138" s="64" t="s">
        <v>21</v>
      </c>
      <c r="Z138" s="397" t="s">
        <v>21</v>
      </c>
      <c r="AA138" s="820"/>
      <c r="AB138" s="397" t="s">
        <v>21</v>
      </c>
      <c r="AC138" s="397" t="s">
        <v>21</v>
      </c>
      <c r="AD138" s="397" t="s">
        <v>21</v>
      </c>
      <c r="AE138" s="397" t="s">
        <v>21</v>
      </c>
      <c r="AF138" s="397" t="s">
        <v>21</v>
      </c>
      <c r="AG138" s="397" t="s">
        <v>21</v>
      </c>
    </row>
    <row r="139" spans="1:33">
      <c r="A139" s="397" t="s">
        <v>21</v>
      </c>
      <c r="J139" s="397" t="s">
        <v>21</v>
      </c>
      <c r="K139" s="397" t="s">
        <v>21</v>
      </c>
      <c r="L139" s="397" t="s">
        <v>21</v>
      </c>
      <c r="M139" s="820"/>
      <c r="N139" s="397" t="s">
        <v>21</v>
      </c>
      <c r="O139" s="397" t="s">
        <v>21</v>
      </c>
      <c r="P139" s="397" t="s">
        <v>21</v>
      </c>
      <c r="Q139" s="64" t="s">
        <v>21</v>
      </c>
      <c r="R139" s="64" t="s">
        <v>21</v>
      </c>
      <c r="S139" s="64" t="s">
        <v>21</v>
      </c>
      <c r="T139" s="64" t="s">
        <v>21</v>
      </c>
      <c r="U139" s="64" t="s">
        <v>21</v>
      </c>
      <c r="V139" s="64" t="s">
        <v>21</v>
      </c>
      <c r="W139" s="64" t="s">
        <v>21</v>
      </c>
      <c r="X139" s="64" t="s">
        <v>21</v>
      </c>
      <c r="Y139" s="64" t="s">
        <v>21</v>
      </c>
      <c r="Z139" s="397" t="s">
        <v>21</v>
      </c>
      <c r="AA139" s="820"/>
      <c r="AB139" s="397" t="s">
        <v>21</v>
      </c>
      <c r="AC139" s="397" t="s">
        <v>21</v>
      </c>
      <c r="AD139" s="397" t="s">
        <v>21</v>
      </c>
      <c r="AE139" s="397" t="s">
        <v>21</v>
      </c>
      <c r="AF139" s="397" t="s">
        <v>21</v>
      </c>
      <c r="AG139" s="397" t="s">
        <v>21</v>
      </c>
    </row>
    <row r="140" spans="1:33">
      <c r="A140" s="397" t="s">
        <v>21</v>
      </c>
      <c r="J140" s="397" t="s">
        <v>21</v>
      </c>
      <c r="K140" s="397" t="s">
        <v>21</v>
      </c>
      <c r="L140" s="397" t="s">
        <v>21</v>
      </c>
      <c r="M140" s="820"/>
      <c r="N140" s="397" t="s">
        <v>21</v>
      </c>
      <c r="O140" s="397" t="s">
        <v>21</v>
      </c>
      <c r="P140" s="397" t="s">
        <v>21</v>
      </c>
      <c r="Q140" s="64" t="s">
        <v>21</v>
      </c>
      <c r="R140" s="64" t="s">
        <v>21</v>
      </c>
      <c r="S140" s="64" t="s">
        <v>21</v>
      </c>
      <c r="T140" s="64" t="s">
        <v>21</v>
      </c>
      <c r="U140" s="64" t="s">
        <v>21</v>
      </c>
      <c r="V140" s="64" t="s">
        <v>21</v>
      </c>
      <c r="W140" s="64" t="s">
        <v>21</v>
      </c>
      <c r="X140" s="64" t="s">
        <v>21</v>
      </c>
      <c r="Y140" s="64" t="s">
        <v>21</v>
      </c>
      <c r="Z140" s="397" t="s">
        <v>21</v>
      </c>
      <c r="AA140" s="820"/>
      <c r="AB140" s="397" t="s">
        <v>21</v>
      </c>
      <c r="AC140" s="397" t="s">
        <v>21</v>
      </c>
      <c r="AD140" s="397" t="s">
        <v>21</v>
      </c>
      <c r="AE140" s="397" t="s">
        <v>21</v>
      </c>
      <c r="AF140" s="397" t="s">
        <v>21</v>
      </c>
      <c r="AG140" s="397" t="s">
        <v>21</v>
      </c>
    </row>
    <row r="141" spans="1:33">
      <c r="A141" s="397" t="s">
        <v>21</v>
      </c>
      <c r="J141" s="397" t="s">
        <v>21</v>
      </c>
      <c r="K141" s="397" t="s">
        <v>21</v>
      </c>
      <c r="L141" s="397" t="s">
        <v>21</v>
      </c>
      <c r="M141" s="820"/>
      <c r="N141" s="397" t="s">
        <v>21</v>
      </c>
      <c r="O141" s="397" t="s">
        <v>21</v>
      </c>
      <c r="P141" s="397" t="s">
        <v>21</v>
      </c>
      <c r="Q141" s="64" t="s">
        <v>21</v>
      </c>
      <c r="R141" s="64" t="s">
        <v>21</v>
      </c>
      <c r="S141" s="64" t="s">
        <v>21</v>
      </c>
      <c r="T141" s="64" t="s">
        <v>21</v>
      </c>
      <c r="U141" s="64" t="s">
        <v>21</v>
      </c>
      <c r="V141" s="64" t="s">
        <v>21</v>
      </c>
      <c r="W141" s="64" t="s">
        <v>21</v>
      </c>
      <c r="X141" s="64" t="s">
        <v>21</v>
      </c>
      <c r="Y141" s="64" t="s">
        <v>21</v>
      </c>
      <c r="Z141" s="397" t="s">
        <v>21</v>
      </c>
      <c r="AA141" s="820"/>
      <c r="AB141" s="397" t="s">
        <v>21</v>
      </c>
      <c r="AC141" s="397" t="s">
        <v>21</v>
      </c>
      <c r="AD141" s="397" t="s">
        <v>21</v>
      </c>
      <c r="AE141" s="397" t="s">
        <v>21</v>
      </c>
      <c r="AF141" s="397" t="s">
        <v>21</v>
      </c>
      <c r="AG141" s="397" t="s">
        <v>21</v>
      </c>
    </row>
    <row r="142" spans="1:33">
      <c r="A142" s="397" t="s">
        <v>21</v>
      </c>
      <c r="J142" s="397" t="s">
        <v>21</v>
      </c>
      <c r="K142" s="397" t="s">
        <v>21</v>
      </c>
      <c r="L142" s="397" t="s">
        <v>21</v>
      </c>
      <c r="M142" s="820"/>
      <c r="N142" s="397" t="s">
        <v>21</v>
      </c>
      <c r="O142" s="397" t="s">
        <v>21</v>
      </c>
      <c r="P142" s="397" t="s">
        <v>21</v>
      </c>
      <c r="Q142" s="64" t="s">
        <v>21</v>
      </c>
      <c r="R142" s="64" t="s">
        <v>21</v>
      </c>
      <c r="S142" s="64" t="s">
        <v>21</v>
      </c>
      <c r="T142" s="64" t="s">
        <v>21</v>
      </c>
      <c r="U142" s="64" t="s">
        <v>21</v>
      </c>
      <c r="V142" s="64" t="s">
        <v>21</v>
      </c>
      <c r="W142" s="64" t="s">
        <v>21</v>
      </c>
      <c r="X142" s="64" t="s">
        <v>21</v>
      </c>
      <c r="Y142" s="64" t="s">
        <v>21</v>
      </c>
      <c r="Z142" s="397" t="s">
        <v>21</v>
      </c>
      <c r="AA142" s="820"/>
      <c r="AB142" s="397" t="s">
        <v>21</v>
      </c>
      <c r="AC142" s="397" t="s">
        <v>21</v>
      </c>
      <c r="AD142" s="397" t="s">
        <v>21</v>
      </c>
      <c r="AE142" s="397" t="s">
        <v>21</v>
      </c>
      <c r="AF142" s="397" t="s">
        <v>21</v>
      </c>
      <c r="AG142" s="397" t="s">
        <v>21</v>
      </c>
    </row>
    <row r="143" spans="1:33">
      <c r="A143" s="397" t="s">
        <v>21</v>
      </c>
      <c r="J143" s="397" t="s">
        <v>21</v>
      </c>
      <c r="K143" s="397" t="s">
        <v>21</v>
      </c>
      <c r="L143" s="397" t="s">
        <v>21</v>
      </c>
      <c r="M143" s="820"/>
      <c r="N143" s="397" t="s">
        <v>21</v>
      </c>
      <c r="O143" s="397" t="s">
        <v>21</v>
      </c>
      <c r="P143" s="397" t="s">
        <v>21</v>
      </c>
      <c r="Q143" s="64" t="s">
        <v>21</v>
      </c>
      <c r="R143" s="64" t="s">
        <v>21</v>
      </c>
      <c r="S143" s="64" t="s">
        <v>21</v>
      </c>
      <c r="T143" s="64" t="s">
        <v>21</v>
      </c>
      <c r="U143" s="64" t="s">
        <v>21</v>
      </c>
      <c r="V143" s="64" t="s">
        <v>21</v>
      </c>
      <c r="W143" s="64" t="s">
        <v>21</v>
      </c>
      <c r="X143" s="64" t="s">
        <v>21</v>
      </c>
      <c r="Y143" s="64" t="s">
        <v>21</v>
      </c>
      <c r="Z143" s="397" t="s">
        <v>21</v>
      </c>
      <c r="AA143" s="820"/>
      <c r="AB143" s="397" t="s">
        <v>21</v>
      </c>
      <c r="AC143" s="397" t="s">
        <v>21</v>
      </c>
      <c r="AD143" s="397" t="s">
        <v>21</v>
      </c>
      <c r="AE143" s="397" t="s">
        <v>21</v>
      </c>
      <c r="AF143" s="397" t="s">
        <v>21</v>
      </c>
      <c r="AG143" s="397" t="s">
        <v>21</v>
      </c>
    </row>
    <row r="144" spans="1:33">
      <c r="A144" s="397" t="s">
        <v>21</v>
      </c>
      <c r="J144" s="397" t="s">
        <v>21</v>
      </c>
      <c r="K144" s="397" t="s">
        <v>21</v>
      </c>
      <c r="L144" s="397" t="s">
        <v>21</v>
      </c>
      <c r="M144" s="820"/>
      <c r="N144" s="397" t="s">
        <v>21</v>
      </c>
      <c r="O144" s="397" t="s">
        <v>21</v>
      </c>
      <c r="P144" s="397" t="s">
        <v>21</v>
      </c>
      <c r="Q144" s="64" t="s">
        <v>21</v>
      </c>
      <c r="R144" s="64" t="s">
        <v>21</v>
      </c>
      <c r="S144" s="64" t="s">
        <v>21</v>
      </c>
      <c r="T144" s="64" t="s">
        <v>21</v>
      </c>
      <c r="U144" s="64" t="s">
        <v>21</v>
      </c>
      <c r="V144" s="64" t="s">
        <v>21</v>
      </c>
      <c r="W144" s="64" t="s">
        <v>21</v>
      </c>
      <c r="X144" s="64" t="s">
        <v>21</v>
      </c>
      <c r="Y144" s="64" t="s">
        <v>21</v>
      </c>
      <c r="Z144" s="397" t="s">
        <v>21</v>
      </c>
      <c r="AA144" s="820"/>
      <c r="AB144" s="397" t="s">
        <v>21</v>
      </c>
      <c r="AC144" s="397" t="s">
        <v>21</v>
      </c>
      <c r="AD144" s="397" t="s">
        <v>21</v>
      </c>
      <c r="AE144" s="397" t="s">
        <v>21</v>
      </c>
      <c r="AF144" s="397" t="s">
        <v>21</v>
      </c>
      <c r="AG144" s="397" t="s">
        <v>21</v>
      </c>
    </row>
    <row r="145" spans="1:33">
      <c r="A145" s="397" t="s">
        <v>21</v>
      </c>
      <c r="J145" s="397" t="s">
        <v>21</v>
      </c>
      <c r="K145" s="397" t="s">
        <v>21</v>
      </c>
      <c r="L145" s="397" t="s">
        <v>21</v>
      </c>
      <c r="M145" s="820"/>
      <c r="N145" s="397" t="s">
        <v>21</v>
      </c>
      <c r="O145" s="397" t="s">
        <v>21</v>
      </c>
      <c r="P145" s="397" t="s">
        <v>21</v>
      </c>
      <c r="Q145" s="64" t="s">
        <v>21</v>
      </c>
      <c r="R145" s="64" t="s">
        <v>21</v>
      </c>
      <c r="S145" s="64" t="s">
        <v>21</v>
      </c>
      <c r="T145" s="64" t="s">
        <v>21</v>
      </c>
      <c r="U145" s="64" t="s">
        <v>21</v>
      </c>
      <c r="V145" s="64" t="s">
        <v>21</v>
      </c>
      <c r="W145" s="64" t="s">
        <v>21</v>
      </c>
      <c r="X145" s="64" t="s">
        <v>21</v>
      </c>
      <c r="Y145" s="64" t="s">
        <v>21</v>
      </c>
      <c r="Z145" s="397" t="s">
        <v>21</v>
      </c>
      <c r="AA145" s="820"/>
      <c r="AB145" s="397" t="s">
        <v>21</v>
      </c>
      <c r="AC145" s="397" t="s">
        <v>21</v>
      </c>
      <c r="AD145" s="397" t="s">
        <v>21</v>
      </c>
      <c r="AE145" s="397" t="s">
        <v>21</v>
      </c>
      <c r="AF145" s="397" t="s">
        <v>21</v>
      </c>
      <c r="AG145" s="397" t="s">
        <v>21</v>
      </c>
    </row>
    <row r="146" spans="1:33">
      <c r="A146" s="397" t="s">
        <v>21</v>
      </c>
      <c r="J146" s="397" t="s">
        <v>21</v>
      </c>
      <c r="K146" s="397" t="s">
        <v>21</v>
      </c>
      <c r="L146" s="397" t="s">
        <v>21</v>
      </c>
      <c r="M146" s="820"/>
      <c r="N146" s="397" t="s">
        <v>21</v>
      </c>
      <c r="O146" s="397" t="s">
        <v>21</v>
      </c>
      <c r="P146" s="397" t="s">
        <v>21</v>
      </c>
      <c r="Q146" s="64" t="s">
        <v>21</v>
      </c>
      <c r="R146" s="64" t="s">
        <v>21</v>
      </c>
      <c r="S146" s="64" t="s">
        <v>21</v>
      </c>
      <c r="T146" s="64" t="s">
        <v>21</v>
      </c>
      <c r="U146" s="64" t="s">
        <v>21</v>
      </c>
      <c r="V146" s="64" t="s">
        <v>21</v>
      </c>
      <c r="W146" s="64" t="s">
        <v>21</v>
      </c>
      <c r="X146" s="64" t="s">
        <v>21</v>
      </c>
      <c r="Y146" s="64" t="s">
        <v>21</v>
      </c>
      <c r="Z146" s="397" t="s">
        <v>21</v>
      </c>
      <c r="AA146" s="820"/>
      <c r="AB146" s="397" t="s">
        <v>21</v>
      </c>
      <c r="AC146" s="397" t="s">
        <v>21</v>
      </c>
      <c r="AD146" s="397" t="s">
        <v>21</v>
      </c>
      <c r="AE146" s="397" t="s">
        <v>21</v>
      </c>
      <c r="AF146" s="397" t="s">
        <v>21</v>
      </c>
      <c r="AG146" s="397" t="s">
        <v>21</v>
      </c>
    </row>
    <row r="147" spans="1:33">
      <c r="A147" s="397" t="s">
        <v>21</v>
      </c>
      <c r="J147" s="397" t="s">
        <v>21</v>
      </c>
      <c r="K147" s="397" t="s">
        <v>21</v>
      </c>
      <c r="L147" s="397" t="s">
        <v>21</v>
      </c>
      <c r="M147" s="820"/>
      <c r="N147" s="397" t="s">
        <v>21</v>
      </c>
      <c r="O147" s="397" t="s">
        <v>21</v>
      </c>
      <c r="P147" s="397" t="s">
        <v>21</v>
      </c>
      <c r="Q147" s="64" t="s">
        <v>21</v>
      </c>
      <c r="R147" s="64" t="s">
        <v>21</v>
      </c>
      <c r="S147" s="64" t="s">
        <v>21</v>
      </c>
      <c r="T147" s="64" t="s">
        <v>21</v>
      </c>
      <c r="U147" s="64" t="s">
        <v>21</v>
      </c>
      <c r="V147" s="64" t="s">
        <v>21</v>
      </c>
      <c r="W147" s="64" t="s">
        <v>21</v>
      </c>
      <c r="X147" s="64" t="s">
        <v>21</v>
      </c>
      <c r="Y147" s="64" t="s">
        <v>21</v>
      </c>
      <c r="Z147" s="397" t="s">
        <v>21</v>
      </c>
      <c r="AA147" s="820"/>
      <c r="AB147" s="397" t="s">
        <v>21</v>
      </c>
      <c r="AC147" s="397" t="s">
        <v>21</v>
      </c>
      <c r="AD147" s="397" t="s">
        <v>21</v>
      </c>
      <c r="AE147" s="397" t="s">
        <v>21</v>
      </c>
      <c r="AF147" s="397" t="s">
        <v>21</v>
      </c>
      <c r="AG147" s="397" t="s">
        <v>21</v>
      </c>
    </row>
    <row r="148" spans="1:33">
      <c r="A148" s="397" t="s">
        <v>21</v>
      </c>
      <c r="J148" s="397" t="s">
        <v>21</v>
      </c>
      <c r="K148" s="397" t="s">
        <v>21</v>
      </c>
      <c r="L148" s="397" t="s">
        <v>21</v>
      </c>
      <c r="M148" s="820"/>
      <c r="N148" s="397" t="s">
        <v>21</v>
      </c>
      <c r="O148" s="397" t="s">
        <v>21</v>
      </c>
      <c r="P148" s="397" t="s">
        <v>21</v>
      </c>
      <c r="Q148" s="64" t="s">
        <v>21</v>
      </c>
      <c r="R148" s="64" t="s">
        <v>21</v>
      </c>
      <c r="S148" s="64" t="s">
        <v>21</v>
      </c>
      <c r="T148" s="64" t="s">
        <v>21</v>
      </c>
      <c r="U148" s="64" t="s">
        <v>21</v>
      </c>
      <c r="V148" s="64" t="s">
        <v>21</v>
      </c>
      <c r="W148" s="64" t="s">
        <v>21</v>
      </c>
      <c r="X148" s="64" t="s">
        <v>21</v>
      </c>
      <c r="Y148" s="64" t="s">
        <v>21</v>
      </c>
      <c r="Z148" s="397" t="s">
        <v>21</v>
      </c>
      <c r="AA148" s="820"/>
      <c r="AB148" s="397" t="s">
        <v>21</v>
      </c>
      <c r="AC148" s="397" t="s">
        <v>21</v>
      </c>
      <c r="AD148" s="397" t="s">
        <v>21</v>
      </c>
      <c r="AE148" s="397" t="s">
        <v>21</v>
      </c>
      <c r="AF148" s="397" t="s">
        <v>21</v>
      </c>
      <c r="AG148" s="397" t="s">
        <v>21</v>
      </c>
    </row>
    <row r="149" spans="1:33">
      <c r="A149" s="397" t="s">
        <v>21</v>
      </c>
      <c r="J149" s="397" t="s">
        <v>21</v>
      </c>
      <c r="K149" s="397" t="s">
        <v>21</v>
      </c>
      <c r="L149" s="397" t="s">
        <v>21</v>
      </c>
      <c r="M149" s="820"/>
      <c r="N149" s="397" t="s">
        <v>21</v>
      </c>
      <c r="O149" s="397" t="s">
        <v>21</v>
      </c>
      <c r="P149" s="397" t="s">
        <v>21</v>
      </c>
      <c r="Q149" s="64" t="s">
        <v>21</v>
      </c>
      <c r="R149" s="64" t="s">
        <v>21</v>
      </c>
      <c r="S149" s="64" t="s">
        <v>21</v>
      </c>
      <c r="T149" s="64" t="s">
        <v>21</v>
      </c>
      <c r="U149" s="64" t="s">
        <v>21</v>
      </c>
      <c r="V149" s="64" t="s">
        <v>21</v>
      </c>
      <c r="W149" s="64" t="s">
        <v>21</v>
      </c>
      <c r="X149" s="64" t="s">
        <v>21</v>
      </c>
      <c r="Y149" s="64" t="s">
        <v>21</v>
      </c>
      <c r="Z149" s="397" t="s">
        <v>21</v>
      </c>
      <c r="AA149" s="820"/>
      <c r="AB149" s="397" t="s">
        <v>21</v>
      </c>
      <c r="AC149" s="397" t="s">
        <v>21</v>
      </c>
      <c r="AD149" s="397" t="s">
        <v>21</v>
      </c>
      <c r="AE149" s="397" t="s">
        <v>21</v>
      </c>
      <c r="AF149" s="397" t="s">
        <v>21</v>
      </c>
      <c r="AG149" s="397" t="s">
        <v>21</v>
      </c>
    </row>
    <row r="150" spans="1:33">
      <c r="A150" s="397" t="s">
        <v>21</v>
      </c>
      <c r="J150" s="397" t="s">
        <v>21</v>
      </c>
      <c r="K150" s="397" t="s">
        <v>21</v>
      </c>
      <c r="L150" s="397" t="s">
        <v>21</v>
      </c>
      <c r="M150" s="820"/>
      <c r="N150" s="397" t="s">
        <v>21</v>
      </c>
      <c r="O150" s="397" t="s">
        <v>21</v>
      </c>
      <c r="P150" s="397" t="s">
        <v>21</v>
      </c>
      <c r="Q150" s="64" t="s">
        <v>21</v>
      </c>
      <c r="R150" s="64" t="s">
        <v>21</v>
      </c>
      <c r="S150" s="64" t="s">
        <v>21</v>
      </c>
      <c r="T150" s="64" t="s">
        <v>21</v>
      </c>
      <c r="U150" s="64" t="s">
        <v>21</v>
      </c>
      <c r="V150" s="64" t="s">
        <v>21</v>
      </c>
      <c r="W150" s="64" t="s">
        <v>21</v>
      </c>
      <c r="X150" s="64" t="s">
        <v>21</v>
      </c>
      <c r="Y150" s="64" t="s">
        <v>21</v>
      </c>
      <c r="Z150" s="397" t="s">
        <v>21</v>
      </c>
      <c r="AA150" s="820"/>
      <c r="AB150" s="397" t="s">
        <v>21</v>
      </c>
      <c r="AC150" s="397" t="s">
        <v>21</v>
      </c>
      <c r="AD150" s="397" t="s">
        <v>21</v>
      </c>
      <c r="AE150" s="397" t="s">
        <v>21</v>
      </c>
      <c r="AF150" s="397" t="s">
        <v>21</v>
      </c>
      <c r="AG150" s="397" t="s">
        <v>21</v>
      </c>
    </row>
    <row r="151" spans="1:33">
      <c r="A151" s="397" t="s">
        <v>21</v>
      </c>
      <c r="J151" s="397" t="s">
        <v>21</v>
      </c>
      <c r="K151" s="397" t="s">
        <v>21</v>
      </c>
      <c r="L151" s="397" t="s">
        <v>21</v>
      </c>
      <c r="M151" s="820"/>
      <c r="N151" s="397" t="s">
        <v>21</v>
      </c>
      <c r="O151" s="397" t="s">
        <v>21</v>
      </c>
      <c r="P151" s="397" t="s">
        <v>21</v>
      </c>
      <c r="Q151" s="64" t="s">
        <v>21</v>
      </c>
      <c r="R151" s="64" t="s">
        <v>21</v>
      </c>
      <c r="S151" s="64" t="s">
        <v>21</v>
      </c>
      <c r="T151" s="64" t="s">
        <v>21</v>
      </c>
      <c r="U151" s="64" t="s">
        <v>21</v>
      </c>
      <c r="V151" s="64" t="s">
        <v>21</v>
      </c>
      <c r="W151" s="64" t="s">
        <v>21</v>
      </c>
      <c r="X151" s="64" t="s">
        <v>21</v>
      </c>
      <c r="Y151" s="64" t="s">
        <v>21</v>
      </c>
      <c r="Z151" s="397" t="s">
        <v>21</v>
      </c>
      <c r="AA151" s="820"/>
      <c r="AB151" s="397" t="s">
        <v>21</v>
      </c>
      <c r="AC151" s="397" t="s">
        <v>21</v>
      </c>
      <c r="AD151" s="397" t="s">
        <v>21</v>
      </c>
      <c r="AE151" s="397" t="s">
        <v>21</v>
      </c>
      <c r="AF151" s="397" t="s">
        <v>21</v>
      </c>
      <c r="AG151" s="397" t="s">
        <v>21</v>
      </c>
    </row>
    <row r="152" spans="1:33">
      <c r="A152" s="397" t="s">
        <v>21</v>
      </c>
      <c r="J152" s="397" t="s">
        <v>21</v>
      </c>
      <c r="K152" s="397" t="s">
        <v>21</v>
      </c>
      <c r="L152" s="397" t="s">
        <v>21</v>
      </c>
      <c r="M152" s="820"/>
      <c r="N152" s="397" t="s">
        <v>21</v>
      </c>
      <c r="O152" s="397" t="s">
        <v>21</v>
      </c>
      <c r="P152" s="397" t="s">
        <v>21</v>
      </c>
      <c r="Q152" s="64" t="s">
        <v>21</v>
      </c>
      <c r="R152" s="64" t="s">
        <v>21</v>
      </c>
      <c r="S152" s="64" t="s">
        <v>21</v>
      </c>
      <c r="T152" s="64" t="s">
        <v>21</v>
      </c>
      <c r="U152" s="64" t="s">
        <v>21</v>
      </c>
      <c r="V152" s="64" t="s">
        <v>21</v>
      </c>
      <c r="W152" s="64" t="s">
        <v>21</v>
      </c>
      <c r="X152" s="64" t="s">
        <v>21</v>
      </c>
      <c r="Y152" s="64" t="s">
        <v>21</v>
      </c>
      <c r="Z152" s="397" t="s">
        <v>21</v>
      </c>
      <c r="AA152" s="820"/>
      <c r="AB152" s="397" t="s">
        <v>21</v>
      </c>
      <c r="AC152" s="397" t="s">
        <v>21</v>
      </c>
      <c r="AD152" s="397" t="s">
        <v>21</v>
      </c>
      <c r="AE152" s="397" t="s">
        <v>21</v>
      </c>
      <c r="AF152" s="397" t="s">
        <v>21</v>
      </c>
      <c r="AG152" s="397" t="s">
        <v>21</v>
      </c>
    </row>
    <row r="153" spans="1:33">
      <c r="A153" s="397" t="s">
        <v>21</v>
      </c>
      <c r="J153" s="397" t="s">
        <v>21</v>
      </c>
      <c r="K153" s="397" t="s">
        <v>21</v>
      </c>
      <c r="L153" s="397" t="s">
        <v>21</v>
      </c>
      <c r="M153" s="820"/>
      <c r="N153" s="397" t="s">
        <v>21</v>
      </c>
      <c r="O153" s="397" t="s">
        <v>21</v>
      </c>
      <c r="P153" s="397" t="s">
        <v>21</v>
      </c>
      <c r="Q153" s="64" t="s">
        <v>21</v>
      </c>
      <c r="R153" s="64" t="s">
        <v>21</v>
      </c>
      <c r="S153" s="64" t="s">
        <v>21</v>
      </c>
      <c r="T153" s="64" t="s">
        <v>21</v>
      </c>
      <c r="U153" s="64" t="s">
        <v>21</v>
      </c>
      <c r="V153" s="64" t="s">
        <v>21</v>
      </c>
      <c r="W153" s="64" t="s">
        <v>21</v>
      </c>
      <c r="X153" s="64" t="s">
        <v>21</v>
      </c>
      <c r="Y153" s="64" t="s">
        <v>21</v>
      </c>
      <c r="Z153" s="397" t="s">
        <v>21</v>
      </c>
      <c r="AA153" s="820"/>
      <c r="AB153" s="397" t="s">
        <v>21</v>
      </c>
      <c r="AC153" s="397" t="s">
        <v>21</v>
      </c>
      <c r="AD153" s="397" t="s">
        <v>21</v>
      </c>
      <c r="AE153" s="397" t="s">
        <v>21</v>
      </c>
      <c r="AF153" s="397" t="s">
        <v>21</v>
      </c>
      <c r="AG153" s="397" t="s">
        <v>21</v>
      </c>
    </row>
    <row r="154" spans="1:33">
      <c r="A154" s="397" t="s">
        <v>21</v>
      </c>
      <c r="J154" s="397" t="s">
        <v>21</v>
      </c>
      <c r="K154" s="397" t="s">
        <v>21</v>
      </c>
      <c r="L154" s="397" t="s">
        <v>21</v>
      </c>
      <c r="M154" s="820"/>
      <c r="N154" s="397" t="s">
        <v>21</v>
      </c>
      <c r="O154" s="397" t="s">
        <v>21</v>
      </c>
      <c r="P154" s="397" t="s">
        <v>21</v>
      </c>
      <c r="Q154" s="397" t="s">
        <v>21</v>
      </c>
      <c r="R154" s="397" t="s">
        <v>21</v>
      </c>
      <c r="S154" s="397" t="s">
        <v>21</v>
      </c>
      <c r="T154" s="397" t="s">
        <v>21</v>
      </c>
      <c r="U154" s="64" t="s">
        <v>21</v>
      </c>
      <c r="V154" s="64" t="s">
        <v>21</v>
      </c>
      <c r="W154" s="64" t="s">
        <v>21</v>
      </c>
      <c r="X154" s="64" t="s">
        <v>21</v>
      </c>
      <c r="Y154" s="64" t="s">
        <v>21</v>
      </c>
      <c r="Z154" s="397" t="s">
        <v>21</v>
      </c>
      <c r="AA154" s="820"/>
      <c r="AB154" s="397" t="s">
        <v>21</v>
      </c>
      <c r="AC154" s="397" t="s">
        <v>21</v>
      </c>
      <c r="AD154" s="397" t="s">
        <v>21</v>
      </c>
      <c r="AE154" s="397" t="s">
        <v>21</v>
      </c>
      <c r="AF154" s="397" t="s">
        <v>21</v>
      </c>
      <c r="AG154" s="397" t="s">
        <v>21</v>
      </c>
    </row>
    <row r="155" spans="1:33">
      <c r="A155" s="397" t="s">
        <v>21</v>
      </c>
      <c r="J155" s="397" t="s">
        <v>21</v>
      </c>
      <c r="K155" s="397" t="s">
        <v>21</v>
      </c>
      <c r="L155" s="397" t="s">
        <v>21</v>
      </c>
      <c r="M155" s="820"/>
      <c r="N155" s="397" t="s">
        <v>21</v>
      </c>
      <c r="O155" s="397" t="s">
        <v>21</v>
      </c>
      <c r="P155" s="397" t="s">
        <v>21</v>
      </c>
      <c r="Q155" s="397" t="s">
        <v>21</v>
      </c>
      <c r="R155" s="397" t="s">
        <v>21</v>
      </c>
      <c r="S155" s="397" t="s">
        <v>21</v>
      </c>
      <c r="T155" s="397" t="s">
        <v>21</v>
      </c>
      <c r="U155" s="64" t="s">
        <v>21</v>
      </c>
      <c r="V155" s="64" t="s">
        <v>21</v>
      </c>
      <c r="W155" s="64" t="s">
        <v>21</v>
      </c>
      <c r="X155" s="64" t="s">
        <v>21</v>
      </c>
      <c r="Y155" s="64" t="s">
        <v>21</v>
      </c>
      <c r="Z155" s="397" t="s">
        <v>21</v>
      </c>
      <c r="AA155" s="820"/>
      <c r="AB155" s="397" t="s">
        <v>21</v>
      </c>
      <c r="AC155" s="397" t="s">
        <v>21</v>
      </c>
      <c r="AD155" s="397" t="s">
        <v>21</v>
      </c>
      <c r="AE155" s="397" t="s">
        <v>21</v>
      </c>
      <c r="AF155" s="397" t="s">
        <v>21</v>
      </c>
      <c r="AG155" s="397" t="s">
        <v>21</v>
      </c>
    </row>
    <row r="156" spans="1:33">
      <c r="A156" s="397" t="s">
        <v>21</v>
      </c>
      <c r="J156" s="397" t="s">
        <v>21</v>
      </c>
      <c r="K156" s="397" t="s">
        <v>21</v>
      </c>
      <c r="L156" s="397" t="s">
        <v>21</v>
      </c>
      <c r="M156" s="820"/>
      <c r="N156" s="397" t="s">
        <v>21</v>
      </c>
      <c r="O156" s="397" t="s">
        <v>21</v>
      </c>
      <c r="P156" s="397" t="s">
        <v>21</v>
      </c>
      <c r="Q156" s="397" t="s">
        <v>21</v>
      </c>
      <c r="R156" s="397" t="s">
        <v>21</v>
      </c>
      <c r="S156" s="397" t="s">
        <v>21</v>
      </c>
      <c r="T156" s="397" t="s">
        <v>21</v>
      </c>
      <c r="U156" s="64" t="s">
        <v>21</v>
      </c>
      <c r="V156" s="64" t="s">
        <v>21</v>
      </c>
      <c r="W156" s="64" t="s">
        <v>21</v>
      </c>
      <c r="X156" s="64" t="s">
        <v>21</v>
      </c>
      <c r="Y156" s="64" t="s">
        <v>21</v>
      </c>
      <c r="Z156" s="397" t="s">
        <v>21</v>
      </c>
      <c r="AA156" s="820"/>
      <c r="AB156" s="397" t="s">
        <v>21</v>
      </c>
      <c r="AC156" s="397" t="s">
        <v>21</v>
      </c>
      <c r="AD156" s="397" t="s">
        <v>21</v>
      </c>
      <c r="AE156" s="397" t="s">
        <v>21</v>
      </c>
      <c r="AF156" s="397" t="s">
        <v>21</v>
      </c>
      <c r="AG156" s="397" t="s">
        <v>21</v>
      </c>
    </row>
    <row r="157" spans="1:33">
      <c r="A157" s="397" t="s">
        <v>21</v>
      </c>
      <c r="J157" s="397" t="s">
        <v>21</v>
      </c>
      <c r="K157" s="397" t="s">
        <v>21</v>
      </c>
      <c r="L157" s="397" t="s">
        <v>21</v>
      </c>
      <c r="M157" s="820"/>
      <c r="N157" s="397" t="s">
        <v>21</v>
      </c>
      <c r="O157" s="397" t="s">
        <v>21</v>
      </c>
      <c r="P157" s="397" t="s">
        <v>21</v>
      </c>
      <c r="Q157" s="397" t="s">
        <v>21</v>
      </c>
      <c r="R157" s="397" t="s">
        <v>21</v>
      </c>
      <c r="S157" s="397" t="s">
        <v>21</v>
      </c>
      <c r="T157" s="397" t="s">
        <v>21</v>
      </c>
      <c r="U157" s="64" t="s">
        <v>21</v>
      </c>
      <c r="V157" s="64" t="s">
        <v>21</v>
      </c>
      <c r="W157" s="64" t="s">
        <v>21</v>
      </c>
      <c r="X157" s="64" t="s">
        <v>21</v>
      </c>
      <c r="Y157" s="64" t="s">
        <v>21</v>
      </c>
      <c r="Z157" s="397" t="s">
        <v>21</v>
      </c>
      <c r="AA157" s="820"/>
      <c r="AB157" s="397" t="s">
        <v>21</v>
      </c>
      <c r="AC157" s="397" t="s">
        <v>21</v>
      </c>
      <c r="AD157" s="397" t="s">
        <v>21</v>
      </c>
      <c r="AE157" s="397" t="s">
        <v>21</v>
      </c>
      <c r="AF157" s="397" t="s">
        <v>21</v>
      </c>
      <c r="AG157" s="397" t="s">
        <v>21</v>
      </c>
    </row>
    <row r="158" spans="1:33">
      <c r="A158" s="397" t="s">
        <v>21</v>
      </c>
      <c r="J158" s="397" t="s">
        <v>21</v>
      </c>
      <c r="K158" s="397" t="s">
        <v>21</v>
      </c>
      <c r="L158" s="397" t="s">
        <v>21</v>
      </c>
      <c r="M158" s="820"/>
      <c r="N158" s="397" t="s">
        <v>21</v>
      </c>
      <c r="O158" s="397" t="s">
        <v>21</v>
      </c>
      <c r="P158" s="397" t="s">
        <v>21</v>
      </c>
      <c r="Q158" s="397" t="s">
        <v>21</v>
      </c>
      <c r="R158" s="397" t="s">
        <v>21</v>
      </c>
      <c r="S158" s="397" t="s">
        <v>21</v>
      </c>
      <c r="T158" s="397" t="s">
        <v>21</v>
      </c>
      <c r="U158" s="64" t="s">
        <v>21</v>
      </c>
      <c r="V158" s="64" t="s">
        <v>21</v>
      </c>
      <c r="W158" s="64" t="s">
        <v>21</v>
      </c>
      <c r="X158" s="64" t="s">
        <v>21</v>
      </c>
      <c r="Y158" s="64" t="s">
        <v>21</v>
      </c>
      <c r="Z158" s="397" t="s">
        <v>21</v>
      </c>
      <c r="AA158" s="820"/>
      <c r="AB158" s="397" t="s">
        <v>21</v>
      </c>
      <c r="AC158" s="397" t="s">
        <v>21</v>
      </c>
      <c r="AD158" s="397" t="s">
        <v>21</v>
      </c>
      <c r="AE158" s="397" t="s">
        <v>21</v>
      </c>
      <c r="AF158" s="397" t="s">
        <v>21</v>
      </c>
      <c r="AG158" s="397" t="s">
        <v>21</v>
      </c>
    </row>
    <row r="159" spans="1:33">
      <c r="A159" s="397" t="s">
        <v>21</v>
      </c>
      <c r="J159" s="397" t="s">
        <v>21</v>
      </c>
      <c r="K159" s="397" t="s">
        <v>21</v>
      </c>
      <c r="L159" s="397" t="s">
        <v>21</v>
      </c>
      <c r="M159" s="820"/>
      <c r="N159" s="397" t="s">
        <v>21</v>
      </c>
      <c r="O159" s="397" t="s">
        <v>21</v>
      </c>
      <c r="P159" s="397" t="s">
        <v>21</v>
      </c>
      <c r="Q159" s="397" t="s">
        <v>21</v>
      </c>
      <c r="R159" s="397" t="s">
        <v>21</v>
      </c>
      <c r="S159" s="397" t="s">
        <v>21</v>
      </c>
      <c r="T159" s="397" t="s">
        <v>21</v>
      </c>
      <c r="U159" s="64" t="s">
        <v>21</v>
      </c>
      <c r="V159" s="64" t="s">
        <v>21</v>
      </c>
      <c r="W159" s="64" t="s">
        <v>21</v>
      </c>
      <c r="X159" s="64" t="s">
        <v>21</v>
      </c>
      <c r="Y159" s="64" t="s">
        <v>21</v>
      </c>
      <c r="Z159" s="397" t="s">
        <v>21</v>
      </c>
      <c r="AA159" s="820"/>
      <c r="AB159" s="397" t="s">
        <v>21</v>
      </c>
      <c r="AC159" s="397" t="s">
        <v>21</v>
      </c>
      <c r="AD159" s="397" t="s">
        <v>21</v>
      </c>
      <c r="AE159" s="397" t="s">
        <v>21</v>
      </c>
      <c r="AF159" s="397" t="s">
        <v>21</v>
      </c>
      <c r="AG159" s="397" t="s">
        <v>21</v>
      </c>
    </row>
    <row r="160" spans="1:33">
      <c r="A160" s="397" t="s">
        <v>21</v>
      </c>
      <c r="J160" s="397" t="s">
        <v>21</v>
      </c>
      <c r="K160" s="397" t="s">
        <v>21</v>
      </c>
      <c r="L160" s="397" t="s">
        <v>21</v>
      </c>
      <c r="M160" s="820"/>
      <c r="N160" s="397" t="s">
        <v>21</v>
      </c>
      <c r="O160" s="397" t="s">
        <v>21</v>
      </c>
      <c r="P160" s="397" t="s">
        <v>21</v>
      </c>
      <c r="Q160" s="397" t="s">
        <v>21</v>
      </c>
      <c r="R160" s="397" t="s">
        <v>21</v>
      </c>
      <c r="S160" s="397" t="s">
        <v>21</v>
      </c>
      <c r="T160" s="397" t="s">
        <v>21</v>
      </c>
      <c r="U160" s="64" t="s">
        <v>21</v>
      </c>
      <c r="V160" s="64" t="s">
        <v>21</v>
      </c>
      <c r="W160" s="64" t="s">
        <v>21</v>
      </c>
      <c r="X160" s="64" t="s">
        <v>21</v>
      </c>
      <c r="Y160" s="64" t="s">
        <v>21</v>
      </c>
      <c r="Z160" s="397" t="s">
        <v>21</v>
      </c>
      <c r="AA160" s="820"/>
      <c r="AB160" s="397" t="s">
        <v>21</v>
      </c>
      <c r="AC160" s="397" t="s">
        <v>21</v>
      </c>
      <c r="AD160" s="397" t="s">
        <v>21</v>
      </c>
      <c r="AE160" s="397" t="s">
        <v>21</v>
      </c>
      <c r="AF160" s="397" t="s">
        <v>21</v>
      </c>
      <c r="AG160" s="397" t="s">
        <v>21</v>
      </c>
    </row>
    <row r="161" spans="1:33">
      <c r="A161" s="397" t="s">
        <v>21</v>
      </c>
      <c r="J161" s="397" t="s">
        <v>21</v>
      </c>
      <c r="K161" s="397" t="s">
        <v>21</v>
      </c>
      <c r="L161" s="397" t="s">
        <v>21</v>
      </c>
      <c r="M161" s="820"/>
      <c r="N161" s="397" t="s">
        <v>21</v>
      </c>
      <c r="O161" s="397" t="s">
        <v>21</v>
      </c>
      <c r="P161" s="397" t="s">
        <v>21</v>
      </c>
      <c r="Q161" s="397" t="s">
        <v>21</v>
      </c>
      <c r="R161" s="397" t="s">
        <v>21</v>
      </c>
      <c r="S161" s="397" t="s">
        <v>21</v>
      </c>
      <c r="T161" s="397" t="s">
        <v>21</v>
      </c>
      <c r="U161" s="64" t="s">
        <v>21</v>
      </c>
      <c r="V161" s="64" t="s">
        <v>21</v>
      </c>
      <c r="W161" s="64" t="s">
        <v>21</v>
      </c>
      <c r="X161" s="64" t="s">
        <v>21</v>
      </c>
      <c r="Y161" s="64" t="s">
        <v>21</v>
      </c>
      <c r="Z161" s="397" t="s">
        <v>21</v>
      </c>
      <c r="AA161" s="820"/>
      <c r="AB161" s="397" t="s">
        <v>21</v>
      </c>
      <c r="AC161" s="397" t="s">
        <v>21</v>
      </c>
      <c r="AD161" s="397" t="s">
        <v>21</v>
      </c>
      <c r="AE161" s="397" t="s">
        <v>21</v>
      </c>
      <c r="AF161" s="397" t="s">
        <v>21</v>
      </c>
      <c r="AG161" s="397" t="s">
        <v>21</v>
      </c>
    </row>
    <row r="162" spans="1:33">
      <c r="A162" s="397" t="s">
        <v>21</v>
      </c>
      <c r="J162" s="397" t="s">
        <v>21</v>
      </c>
      <c r="K162" s="397" t="s">
        <v>21</v>
      </c>
      <c r="L162" s="397" t="s">
        <v>21</v>
      </c>
      <c r="M162" s="820"/>
      <c r="N162" s="397" t="s">
        <v>21</v>
      </c>
      <c r="O162" s="397" t="s">
        <v>21</v>
      </c>
      <c r="P162" s="397" t="s">
        <v>21</v>
      </c>
      <c r="Q162" s="397" t="s">
        <v>21</v>
      </c>
      <c r="R162" s="397" t="s">
        <v>21</v>
      </c>
      <c r="S162" s="397" t="s">
        <v>21</v>
      </c>
      <c r="T162" s="397" t="s">
        <v>21</v>
      </c>
      <c r="U162" s="64" t="s">
        <v>21</v>
      </c>
      <c r="V162" s="64" t="s">
        <v>21</v>
      </c>
      <c r="W162" s="64" t="s">
        <v>21</v>
      </c>
      <c r="X162" s="64" t="s">
        <v>21</v>
      </c>
      <c r="Y162" s="64" t="s">
        <v>21</v>
      </c>
      <c r="Z162" s="397" t="s">
        <v>21</v>
      </c>
      <c r="AA162" s="820"/>
      <c r="AB162" s="397" t="s">
        <v>21</v>
      </c>
      <c r="AC162" s="397" t="s">
        <v>21</v>
      </c>
      <c r="AD162" s="397" t="s">
        <v>21</v>
      </c>
      <c r="AE162" s="397" t="s">
        <v>21</v>
      </c>
      <c r="AF162" s="397" t="s">
        <v>21</v>
      </c>
      <c r="AG162" s="397" t="s">
        <v>21</v>
      </c>
    </row>
  </sheetData>
  <autoFilter ref="B7:G24" xr:uid="{00000000-0009-0000-0000-00000F000000}">
    <sortState xmlns:xlrd2="http://schemas.microsoft.com/office/spreadsheetml/2017/richdata2" ref="B8:G162">
      <sortCondition descending="1" ref="E7:E24"/>
    </sortState>
  </autoFilter>
  <sortState xmlns:xlrd2="http://schemas.microsoft.com/office/spreadsheetml/2017/richdata2" ref="B8:G24">
    <sortCondition descending="1" ref="E8:E24"/>
  </sortState>
  <mergeCells count="3">
    <mergeCell ref="E3:G3"/>
    <mergeCell ref="L47:Z51"/>
    <mergeCell ref="B3:C3"/>
  </mergeCells>
  <hyperlinks>
    <hyperlink ref="E3" r:id="rId1" xr:uid="{00000000-0004-0000-0F00-000000000000}"/>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V57"/>
  <sheetViews>
    <sheetView showGridLines="0" topLeftCell="G1" zoomScale="70" zoomScaleNormal="70" workbookViewId="0">
      <selection activeCell="I3" sqref="I3"/>
    </sheetView>
  </sheetViews>
  <sheetFormatPr defaultColWidth="9" defaultRowHeight="15.75"/>
  <cols>
    <col min="1" max="3" width="9" style="279"/>
    <col min="4" max="4" width="47.625" style="279" bestFit="1" customWidth="1"/>
    <col min="5" max="5" width="86.5" style="279" bestFit="1" customWidth="1"/>
    <col min="6" max="6" width="82.375" style="279" bestFit="1" customWidth="1"/>
    <col min="7" max="7" width="86.5" style="279" bestFit="1" customWidth="1"/>
    <col min="8" max="8" width="9" style="279"/>
    <col min="9" max="9" width="25.125" style="279" bestFit="1" customWidth="1"/>
    <col min="10" max="10" width="9" style="279" customWidth="1"/>
    <col min="11" max="11" width="21" style="279" customWidth="1"/>
    <col min="12" max="12" width="21.125" style="279" customWidth="1"/>
    <col min="13" max="13" width="19.5" style="279" customWidth="1"/>
    <col min="14" max="16384" width="9" style="279"/>
  </cols>
  <sheetData>
    <row r="2" spans="1:22" ht="15.75" customHeight="1"/>
    <row r="3" spans="1:22" ht="23.25">
      <c r="A3" s="288"/>
      <c r="I3" s="459" t="s">
        <v>2762</v>
      </c>
    </row>
    <row r="4" spans="1:22" ht="24" customHeight="1">
      <c r="A4" s="288"/>
      <c r="L4" s="443"/>
      <c r="M4" s="443"/>
      <c r="N4" s="443"/>
      <c r="O4" s="443"/>
      <c r="P4" s="443"/>
      <c r="Q4" s="443"/>
      <c r="R4" s="443"/>
      <c r="S4" s="443"/>
      <c r="T4" s="443"/>
      <c r="U4" s="443"/>
      <c r="V4" s="319"/>
    </row>
    <row r="5" spans="1:22">
      <c r="A5" s="288"/>
      <c r="B5" s="139" t="s">
        <v>2763</v>
      </c>
      <c r="E5" s="398"/>
      <c r="F5" s="320"/>
      <c r="K5" s="439"/>
      <c r="L5" s="439"/>
      <c r="M5" s="439"/>
      <c r="N5" s="439"/>
      <c r="O5" s="439"/>
      <c r="P5" s="439"/>
      <c r="Q5" s="439"/>
      <c r="R5" s="439"/>
      <c r="S5" s="439"/>
      <c r="T5" s="439"/>
      <c r="U5" s="439"/>
    </row>
    <row r="6" spans="1:22">
      <c r="A6" s="289"/>
      <c r="B6" s="290"/>
      <c r="C6" s="290"/>
      <c r="D6" s="290"/>
      <c r="K6" s="439"/>
      <c r="L6" s="439"/>
      <c r="M6" s="439"/>
      <c r="N6" s="439"/>
      <c r="O6" s="439"/>
      <c r="P6" s="439"/>
      <c r="Q6" s="439"/>
      <c r="R6" s="439"/>
      <c r="S6" s="439"/>
      <c r="T6" s="439"/>
      <c r="U6" s="439"/>
    </row>
    <row r="7" spans="1:22">
      <c r="A7" s="82"/>
      <c r="B7" s="423" t="s">
        <v>2155</v>
      </c>
      <c r="C7" s="424" t="s">
        <v>2156</v>
      </c>
      <c r="D7" s="425" t="s">
        <v>2764</v>
      </c>
      <c r="E7" s="425" t="s">
        <v>2765</v>
      </c>
      <c r="F7" s="425" t="s">
        <v>2766</v>
      </c>
      <c r="G7" s="425" t="s">
        <v>2767</v>
      </c>
      <c r="K7" s="439"/>
      <c r="L7" s="439"/>
      <c r="M7" s="439"/>
      <c r="N7" s="439"/>
      <c r="O7" s="439"/>
      <c r="P7" s="439"/>
      <c r="Q7" s="439"/>
      <c r="R7" s="439"/>
      <c r="S7" s="439"/>
      <c r="T7" s="439"/>
      <c r="U7" s="439"/>
    </row>
    <row r="8" spans="1:22">
      <c r="A8" s="82"/>
      <c r="B8" s="293">
        <v>1</v>
      </c>
      <c r="C8" s="281" t="s">
        <v>1364</v>
      </c>
      <c r="D8" s="279">
        <f>VLOOKUP(C8,'Refugee cost calculations'!B:E,2,0)</f>
        <v>1194642</v>
      </c>
      <c r="E8" s="279">
        <f>(D8*250*4)/1000000000</f>
        <v>1.194642</v>
      </c>
      <c r="F8" s="284">
        <f>(D8*250*4)/1000000000</f>
        <v>1.194642</v>
      </c>
      <c r="G8" s="284">
        <f>(D8*250*4)/1000000000</f>
        <v>1.194642</v>
      </c>
    </row>
    <row r="9" spans="1:22">
      <c r="A9" s="82"/>
      <c r="B9" s="293">
        <v>1</v>
      </c>
      <c r="C9" s="281" t="s">
        <v>840</v>
      </c>
      <c r="D9" s="279">
        <f>VLOOKUP(C9,'Refugee cost calculations'!B:E,2,0)</f>
        <v>867000</v>
      </c>
      <c r="E9" s="279">
        <f t="shared" ref="E9:E47" si="0">(D9*250*4)/1000000000</f>
        <v>0.86699999999999999</v>
      </c>
      <c r="F9" s="284">
        <f t="shared" ref="F9:F47" si="1">(D9*250*4)/1000000000</f>
        <v>0.86699999999999999</v>
      </c>
      <c r="G9" s="284">
        <f t="shared" ref="G9:G47" si="2">(D9*250*4)/1000000000</f>
        <v>0.86699999999999999</v>
      </c>
    </row>
    <row r="10" spans="1:22">
      <c r="A10" s="82"/>
      <c r="B10" s="293">
        <v>1</v>
      </c>
      <c r="C10" s="281" t="s">
        <v>503</v>
      </c>
      <c r="D10" s="279">
        <f>VLOOKUP(C10,'Refugee cost calculations'!B:E,2,0)</f>
        <v>382768</v>
      </c>
      <c r="E10" s="279">
        <f t="shared" si="0"/>
        <v>0.382768</v>
      </c>
      <c r="F10" s="284">
        <f t="shared" si="1"/>
        <v>0.382768</v>
      </c>
      <c r="G10" s="284">
        <f t="shared" si="2"/>
        <v>0.382768</v>
      </c>
    </row>
    <row r="11" spans="1:22">
      <c r="A11" s="82"/>
      <c r="B11" s="293">
        <v>0</v>
      </c>
      <c r="C11" s="282" t="s">
        <v>1702</v>
      </c>
      <c r="D11" s="279">
        <f>VLOOKUP(C11,'Refugee cost calculations'!B:E,2,0)</f>
        <v>145000</v>
      </c>
      <c r="E11" s="279">
        <f t="shared" si="0"/>
        <v>0.14499999999999999</v>
      </c>
      <c r="F11" s="284">
        <f t="shared" si="1"/>
        <v>0.14499999999999999</v>
      </c>
      <c r="G11" s="284">
        <f t="shared" si="2"/>
        <v>0.14499999999999999</v>
      </c>
    </row>
    <row r="12" spans="1:22">
      <c r="A12" s="82"/>
      <c r="B12" s="293">
        <v>1</v>
      </c>
      <c r="C12" s="281" t="s">
        <v>1036</v>
      </c>
      <c r="D12" s="279">
        <f>VLOOKUP(C12,'Refugee cost calculations'!B:E,2,0)</f>
        <v>141562</v>
      </c>
      <c r="E12" s="279">
        <f t="shared" si="0"/>
        <v>0.14156199999999999</v>
      </c>
      <c r="F12" s="284">
        <f t="shared" si="1"/>
        <v>0.14156199999999999</v>
      </c>
      <c r="G12" s="284">
        <f t="shared" si="2"/>
        <v>0.14156199999999999</v>
      </c>
    </row>
    <row r="13" spans="1:22">
      <c r="A13" s="82"/>
      <c r="B13" s="293">
        <v>1</v>
      </c>
      <c r="C13" s="281" t="s">
        <v>1587</v>
      </c>
      <c r="D13" s="279">
        <f>VLOOKUP(C13,'Refugee cost calculations'!B:E,2,0)</f>
        <v>123888</v>
      </c>
      <c r="E13" s="279">
        <f t="shared" si="0"/>
        <v>0.123888</v>
      </c>
      <c r="F13" s="284">
        <f t="shared" si="1"/>
        <v>0.123888</v>
      </c>
      <c r="G13" s="284">
        <f t="shared" si="2"/>
        <v>0.123888</v>
      </c>
    </row>
    <row r="14" spans="1:22">
      <c r="A14" s="71"/>
      <c r="B14" s="293">
        <v>1</v>
      </c>
      <c r="C14" s="281" t="s">
        <v>763</v>
      </c>
      <c r="D14" s="279">
        <f>VLOOKUP(C14,'Refugee cost calculations'!B:E,2,0)</f>
        <v>87972</v>
      </c>
      <c r="E14" s="279">
        <f t="shared" si="0"/>
        <v>8.7971999999999995E-2</v>
      </c>
      <c r="F14" s="284">
        <f t="shared" si="1"/>
        <v>8.7971999999999995E-2</v>
      </c>
      <c r="G14" s="284">
        <f t="shared" si="2"/>
        <v>8.7971999999999995E-2</v>
      </c>
    </row>
    <row r="15" spans="1:22">
      <c r="A15" s="71"/>
      <c r="B15" s="293">
        <v>0</v>
      </c>
      <c r="C15" s="281" t="s">
        <v>1741</v>
      </c>
      <c r="D15" s="279">
        <f>VLOOKUP(C15,'Refugee cost calculations'!B:E,2,0)</f>
        <v>86600</v>
      </c>
      <c r="E15" s="279">
        <f t="shared" si="0"/>
        <v>8.6599999999999996E-2</v>
      </c>
      <c r="F15" s="284">
        <f t="shared" si="1"/>
        <v>8.6599999999999996E-2</v>
      </c>
      <c r="G15" s="284">
        <f t="shared" si="2"/>
        <v>8.6599999999999996E-2</v>
      </c>
    </row>
    <row r="16" spans="1:22">
      <c r="A16" s="71"/>
      <c r="B16" s="293">
        <v>1</v>
      </c>
      <c r="C16" s="281" t="s">
        <v>1478</v>
      </c>
      <c r="D16" s="279">
        <f>VLOOKUP(C16,'Refugee cost calculations'!B:E,2,0)</f>
        <v>83321</v>
      </c>
      <c r="E16" s="279">
        <f t="shared" si="0"/>
        <v>8.3321000000000006E-2</v>
      </c>
      <c r="F16" s="284">
        <f t="shared" si="1"/>
        <v>8.3321000000000006E-2</v>
      </c>
      <c r="G16" s="284">
        <f t="shared" si="2"/>
        <v>8.3321000000000006E-2</v>
      </c>
    </row>
    <row r="17" spans="1:7">
      <c r="A17" s="71"/>
      <c r="B17" s="293">
        <v>1</v>
      </c>
      <c r="C17" s="281" t="s">
        <v>329</v>
      </c>
      <c r="D17" s="279">
        <f>VLOOKUP(C17,'Refugee cost calculations'!B:E,2,0)</f>
        <v>82432</v>
      </c>
      <c r="E17" s="279">
        <f t="shared" si="0"/>
        <v>8.2432000000000005E-2</v>
      </c>
      <c r="F17" s="284">
        <f t="shared" si="1"/>
        <v>8.2432000000000005E-2</v>
      </c>
      <c r="G17" s="284">
        <f t="shared" si="2"/>
        <v>8.2432000000000005E-2</v>
      </c>
    </row>
    <row r="18" spans="1:7">
      <c r="A18" s="71"/>
      <c r="B18" s="293">
        <v>1</v>
      </c>
      <c r="C18" s="281" t="s">
        <v>1507</v>
      </c>
      <c r="D18" s="279">
        <f>VLOOKUP(C18,'Refugee cost calculations'!B:E,2,0)</f>
        <v>79770</v>
      </c>
      <c r="E18" s="279">
        <f t="shared" si="0"/>
        <v>7.9769999999999994E-2</v>
      </c>
      <c r="F18" s="284">
        <f t="shared" si="1"/>
        <v>7.9769999999999994E-2</v>
      </c>
      <c r="G18" s="284">
        <f t="shared" si="2"/>
        <v>7.9769999999999994E-2</v>
      </c>
    </row>
    <row r="19" spans="1:7">
      <c r="A19" s="71"/>
      <c r="B19" s="293">
        <v>1</v>
      </c>
      <c r="C19" s="281" t="s">
        <v>257</v>
      </c>
      <c r="D19" s="279">
        <f>VLOOKUP(C19,'Refugee cost calculations'!B:E,2,0)</f>
        <v>73768</v>
      </c>
      <c r="E19" s="279">
        <f t="shared" si="0"/>
        <v>7.3768E-2</v>
      </c>
      <c r="F19" s="284">
        <f t="shared" si="1"/>
        <v>7.3768E-2</v>
      </c>
      <c r="G19" s="284">
        <f t="shared" si="2"/>
        <v>7.3768E-2</v>
      </c>
    </row>
    <row r="20" spans="1:7">
      <c r="A20" s="71"/>
      <c r="B20" s="293">
        <v>1</v>
      </c>
      <c r="C20" s="281" t="s">
        <v>1215</v>
      </c>
      <c r="D20" s="279">
        <f>VLOOKUP(C20,'Refugee cost calculations'!B:E,2,0)</f>
        <v>66780</v>
      </c>
      <c r="E20" s="279">
        <f t="shared" si="0"/>
        <v>6.6780000000000006E-2</v>
      </c>
      <c r="F20" s="284">
        <f t="shared" si="1"/>
        <v>6.6780000000000006E-2</v>
      </c>
      <c r="G20" s="284">
        <f t="shared" si="2"/>
        <v>6.6780000000000006E-2</v>
      </c>
    </row>
    <row r="21" spans="1:7">
      <c r="A21" s="71"/>
      <c r="B21" s="293">
        <v>1</v>
      </c>
      <c r="C21" s="281" t="s">
        <v>1147</v>
      </c>
      <c r="D21" s="279">
        <f>VLOOKUP(C21,'Refugee cost calculations'!B:E,2,0)</f>
        <v>57979</v>
      </c>
      <c r="E21" s="279">
        <f t="shared" si="0"/>
        <v>5.7979000000000003E-2</v>
      </c>
      <c r="F21" s="284">
        <f t="shared" si="1"/>
        <v>5.7979000000000003E-2</v>
      </c>
      <c r="G21" s="284">
        <f t="shared" si="2"/>
        <v>5.7979000000000003E-2</v>
      </c>
    </row>
    <row r="22" spans="1:7">
      <c r="A22" s="71"/>
      <c r="B22" s="293">
        <v>0</v>
      </c>
      <c r="C22" s="282" t="s">
        <v>1694</v>
      </c>
      <c r="D22" s="279">
        <f>VLOOKUP(C22,'Refugee cost calculations'!B:E,2,0)</f>
        <v>55336</v>
      </c>
      <c r="E22" s="279">
        <f t="shared" si="0"/>
        <v>5.5336000000000003E-2</v>
      </c>
      <c r="F22" s="284">
        <f t="shared" si="1"/>
        <v>5.5336000000000003E-2</v>
      </c>
      <c r="G22" s="284">
        <f t="shared" si="2"/>
        <v>5.5336000000000003E-2</v>
      </c>
    </row>
    <row r="23" spans="1:7">
      <c r="A23" s="71"/>
      <c r="B23" s="293">
        <v>1</v>
      </c>
      <c r="C23" s="281" t="s">
        <v>296</v>
      </c>
      <c r="D23" s="279">
        <f>VLOOKUP(C23,'Refugee cost calculations'!B:E,2,0)</f>
        <v>49000</v>
      </c>
      <c r="E23" s="279">
        <f t="shared" si="0"/>
        <v>4.9000000000000002E-2</v>
      </c>
      <c r="F23" s="284">
        <f t="shared" si="1"/>
        <v>4.9000000000000002E-2</v>
      </c>
      <c r="G23" s="284">
        <f t="shared" si="2"/>
        <v>4.9000000000000002E-2</v>
      </c>
    </row>
    <row r="24" spans="1:7">
      <c r="A24" s="71"/>
      <c r="B24" s="293">
        <v>1</v>
      </c>
      <c r="C24" s="281" t="s">
        <v>1408</v>
      </c>
      <c r="D24" s="279">
        <f>VLOOKUP(C24,'Refugee cost calculations'!B:E,2,0)</f>
        <v>45714</v>
      </c>
      <c r="E24" s="279">
        <f t="shared" si="0"/>
        <v>4.5713999999999998E-2</v>
      </c>
      <c r="F24" s="284">
        <f t="shared" si="1"/>
        <v>4.5713999999999998E-2</v>
      </c>
      <c r="G24" s="284">
        <f t="shared" si="2"/>
        <v>4.5713999999999998E-2</v>
      </c>
    </row>
    <row r="25" spans="1:7">
      <c r="A25" s="71"/>
      <c r="B25" s="293">
        <v>1</v>
      </c>
      <c r="C25" s="281" t="s">
        <v>666</v>
      </c>
      <c r="D25" s="279">
        <f>VLOOKUP(C25,'Refugee cost calculations'!B:E,2,0)</f>
        <v>43909</v>
      </c>
      <c r="E25" s="279">
        <f t="shared" si="0"/>
        <v>4.3908999999999997E-2</v>
      </c>
      <c r="F25" s="284">
        <f t="shared" si="1"/>
        <v>4.3908999999999997E-2</v>
      </c>
      <c r="G25" s="284">
        <f t="shared" si="2"/>
        <v>4.3908999999999997E-2</v>
      </c>
    </row>
    <row r="26" spans="1:7">
      <c r="A26" s="71"/>
      <c r="B26" s="293">
        <v>1</v>
      </c>
      <c r="C26" s="281" t="s">
        <v>1645</v>
      </c>
      <c r="D26" s="279">
        <f>VLOOKUP(C26,'Refugee cost calculations'!B:E,2,0)</f>
        <v>40765</v>
      </c>
      <c r="E26" s="279">
        <f t="shared" si="0"/>
        <v>4.0765000000000003E-2</v>
      </c>
      <c r="F26" s="284">
        <f t="shared" si="1"/>
        <v>4.0765000000000003E-2</v>
      </c>
      <c r="G26" s="284">
        <f t="shared" si="2"/>
        <v>4.0765000000000003E-2</v>
      </c>
    </row>
    <row r="27" spans="1:7">
      <c r="A27" s="71"/>
      <c r="B27" s="293">
        <v>1</v>
      </c>
      <c r="C27" s="281" t="s">
        <v>1006</v>
      </c>
      <c r="D27" s="279">
        <f>VLOOKUP(C27,'Refugee cost calculations'!B:E,2,0)</f>
        <v>38288</v>
      </c>
      <c r="E27" s="279">
        <f t="shared" si="0"/>
        <v>3.8288000000000003E-2</v>
      </c>
      <c r="F27" s="284">
        <f t="shared" si="1"/>
        <v>3.8288000000000003E-2</v>
      </c>
      <c r="G27" s="284">
        <f t="shared" si="2"/>
        <v>3.8288000000000003E-2</v>
      </c>
    </row>
    <row r="28" spans="1:7">
      <c r="A28" s="71"/>
      <c r="B28" s="293">
        <v>1</v>
      </c>
      <c r="C28" s="281" t="s">
        <v>1119</v>
      </c>
      <c r="D28" s="279">
        <f>VLOOKUP(C28,'Refugee cost calculations'!B:E,2,0)</f>
        <v>34259</v>
      </c>
      <c r="E28" s="279">
        <f t="shared" si="0"/>
        <v>3.4258999999999998E-2</v>
      </c>
      <c r="F28" s="284">
        <f t="shared" si="1"/>
        <v>3.4258999999999998E-2</v>
      </c>
      <c r="G28" s="284">
        <f t="shared" si="2"/>
        <v>3.4258999999999998E-2</v>
      </c>
    </row>
    <row r="29" spans="1:7">
      <c r="A29" s="71"/>
      <c r="B29" s="293">
        <v>1</v>
      </c>
      <c r="C29" s="281" t="s">
        <v>618</v>
      </c>
      <c r="D29" s="279">
        <f>VLOOKUP(C29,'Refugee cost calculations'!B:E,2,0)</f>
        <v>30900</v>
      </c>
      <c r="E29" s="279">
        <f t="shared" si="0"/>
        <v>3.09E-2</v>
      </c>
      <c r="F29" s="284">
        <f t="shared" si="1"/>
        <v>3.09E-2</v>
      </c>
      <c r="G29" s="284">
        <f t="shared" si="2"/>
        <v>3.09E-2</v>
      </c>
    </row>
    <row r="30" spans="1:7">
      <c r="A30" s="71"/>
      <c r="B30" s="293">
        <v>1</v>
      </c>
      <c r="C30" s="281" t="s">
        <v>701</v>
      </c>
      <c r="D30" s="279">
        <f>VLOOKUP(C30,'Refugee cost calculations'!B:E,2,0)</f>
        <v>26629</v>
      </c>
      <c r="E30" s="279">
        <f t="shared" si="0"/>
        <v>2.6629E-2</v>
      </c>
      <c r="F30" s="284">
        <f t="shared" si="1"/>
        <v>2.6629E-2</v>
      </c>
      <c r="G30" s="284">
        <f t="shared" si="2"/>
        <v>2.6629E-2</v>
      </c>
    </row>
    <row r="31" spans="1:7">
      <c r="A31" s="71"/>
      <c r="B31" s="293">
        <v>1</v>
      </c>
      <c r="C31" s="281" t="s">
        <v>963</v>
      </c>
      <c r="D31" s="279">
        <f>VLOOKUP(C31,'Refugee cost calculations'!B:E,2,0)</f>
        <v>25800</v>
      </c>
      <c r="E31" s="279">
        <f t="shared" si="0"/>
        <v>2.58E-2</v>
      </c>
      <c r="F31" s="284">
        <f t="shared" si="1"/>
        <v>2.58E-2</v>
      </c>
      <c r="G31" s="284">
        <f t="shared" si="2"/>
        <v>2.58E-2</v>
      </c>
    </row>
    <row r="32" spans="1:7">
      <c r="A32" s="71"/>
      <c r="B32" s="293">
        <v>0</v>
      </c>
      <c r="C32" s="282" t="s">
        <v>1306</v>
      </c>
      <c r="D32" s="279">
        <f>VLOOKUP(C32,'Refugee cost calculations'!B:E,2,0)</f>
        <v>19439</v>
      </c>
      <c r="E32" s="279">
        <f t="shared" si="0"/>
        <v>1.9439000000000001E-2</v>
      </c>
      <c r="F32" s="284">
        <f t="shared" si="1"/>
        <v>1.9439000000000001E-2</v>
      </c>
      <c r="G32" s="284">
        <f t="shared" si="2"/>
        <v>1.9439000000000001E-2</v>
      </c>
    </row>
    <row r="33" spans="1:13">
      <c r="A33" s="71"/>
      <c r="B33" s="293">
        <v>1</v>
      </c>
      <c r="C33" s="281" t="s">
        <v>926</v>
      </c>
      <c r="D33" s="279">
        <f>VLOOKUP(C33,'Refugee cost calculations'!B:E,2,0)</f>
        <v>15565</v>
      </c>
      <c r="E33" s="279">
        <f t="shared" si="0"/>
        <v>1.5565000000000001E-2</v>
      </c>
      <c r="F33" s="284">
        <f t="shared" si="1"/>
        <v>1.5565000000000001E-2</v>
      </c>
      <c r="G33" s="284">
        <f t="shared" si="2"/>
        <v>1.5565000000000001E-2</v>
      </c>
    </row>
    <row r="34" spans="1:13">
      <c r="A34" s="71"/>
      <c r="B34" s="293">
        <v>1</v>
      </c>
      <c r="C34" s="281" t="s">
        <v>464</v>
      </c>
      <c r="D34" s="279">
        <f>VLOOKUP(C34,'Refugee cost calculations'!B:E,2,0)</f>
        <v>15005</v>
      </c>
      <c r="E34" s="279">
        <f t="shared" si="0"/>
        <v>1.5004999999999999E-2</v>
      </c>
      <c r="F34" s="284">
        <f t="shared" si="1"/>
        <v>1.5004999999999999E-2</v>
      </c>
      <c r="G34" s="284">
        <f t="shared" si="2"/>
        <v>1.5004999999999999E-2</v>
      </c>
    </row>
    <row r="35" spans="1:13">
      <c r="A35" s="71"/>
      <c r="B35" s="293">
        <v>1</v>
      </c>
      <c r="C35" s="281" t="s">
        <v>490</v>
      </c>
      <c r="D35" s="279">
        <f>VLOOKUP(C35,'Refugee cost calculations'!B:E,2,0)</f>
        <v>12478</v>
      </c>
      <c r="E35" s="279">
        <f t="shared" si="0"/>
        <v>1.2478E-2</v>
      </c>
      <c r="F35" s="284">
        <f t="shared" si="1"/>
        <v>1.2478E-2</v>
      </c>
      <c r="G35" s="284">
        <f t="shared" si="2"/>
        <v>1.2478E-2</v>
      </c>
    </row>
    <row r="36" spans="1:13">
      <c r="A36" s="71"/>
      <c r="B36" s="293">
        <v>1</v>
      </c>
      <c r="C36" s="281" t="s">
        <v>1546</v>
      </c>
      <c r="D36" s="279">
        <f>VLOOKUP(C36,'Refugee cost calculations'!B:E,2,0)</f>
        <v>6861</v>
      </c>
      <c r="E36" s="279">
        <f t="shared" si="0"/>
        <v>6.8609999999999999E-3</v>
      </c>
      <c r="F36" s="284">
        <f t="shared" si="1"/>
        <v>6.8609999999999999E-3</v>
      </c>
      <c r="G36" s="284">
        <f t="shared" si="2"/>
        <v>6.8609999999999999E-3</v>
      </c>
    </row>
    <row r="37" spans="1:13">
      <c r="A37" s="71"/>
      <c r="B37" s="293">
        <v>1</v>
      </c>
      <c r="C37" s="281" t="s">
        <v>1187</v>
      </c>
      <c r="D37" s="279">
        <f>VLOOKUP(C37,'Refugee cost calculations'!B:E,2,0)</f>
        <v>5775</v>
      </c>
      <c r="E37" s="279">
        <f t="shared" si="0"/>
        <v>5.7749999999999998E-3</v>
      </c>
      <c r="F37" s="284">
        <f t="shared" si="1"/>
        <v>5.7749999999999998E-3</v>
      </c>
      <c r="G37" s="284">
        <f t="shared" si="2"/>
        <v>5.7749999999999998E-3</v>
      </c>
    </row>
    <row r="38" spans="1:13">
      <c r="A38" s="281"/>
      <c r="B38" s="293">
        <v>1</v>
      </c>
      <c r="C38" s="281" t="s">
        <v>1207</v>
      </c>
      <c r="D38" s="279">
        <f>VLOOKUP(C38,'Refugee cost calculations'!B:E,2,0)</f>
        <v>1250</v>
      </c>
      <c r="E38" s="279">
        <f t="shared" si="0"/>
        <v>1.25E-3</v>
      </c>
      <c r="F38" s="284">
        <f t="shared" si="1"/>
        <v>1.25E-3</v>
      </c>
      <c r="G38" s="284">
        <f t="shared" si="2"/>
        <v>1.25E-3</v>
      </c>
    </row>
    <row r="39" spans="1:13">
      <c r="A39" s="281"/>
      <c r="B39" s="293">
        <v>0</v>
      </c>
      <c r="C39" s="282" t="s">
        <v>189</v>
      </c>
      <c r="D39" s="279">
        <f>VLOOKUP(C39,'Refugee cost calculations'!B:E,2,0)</f>
        <v>0</v>
      </c>
      <c r="E39" s="279">
        <f t="shared" si="0"/>
        <v>0</v>
      </c>
      <c r="F39" s="284">
        <f t="shared" si="1"/>
        <v>0</v>
      </c>
      <c r="G39" s="284">
        <f t="shared" si="2"/>
        <v>0</v>
      </c>
    </row>
    <row r="40" spans="1:13">
      <c r="A40" s="281"/>
      <c r="B40" s="293">
        <v>0</v>
      </c>
      <c r="C40" s="281" t="s">
        <v>350</v>
      </c>
      <c r="D40" s="279">
        <f>VLOOKUP(C40,'Refugee cost calculations'!B:E,2,0)</f>
        <v>0</v>
      </c>
      <c r="E40" s="279">
        <f t="shared" si="0"/>
        <v>0</v>
      </c>
      <c r="F40" s="284">
        <f t="shared" si="1"/>
        <v>0</v>
      </c>
      <c r="G40" s="284">
        <f t="shared" si="2"/>
        <v>0</v>
      </c>
    </row>
    <row r="41" spans="1:13">
      <c r="A41" s="281"/>
      <c r="B41" s="293">
        <v>0</v>
      </c>
      <c r="C41" s="281" t="s">
        <v>1080</v>
      </c>
      <c r="D41" s="279">
        <f>VLOOKUP(C41,'Refugee cost calculations'!B:E,2,0)</f>
        <v>0</v>
      </c>
      <c r="E41" s="279">
        <f t="shared" si="0"/>
        <v>0</v>
      </c>
      <c r="F41" s="284">
        <f t="shared" si="1"/>
        <v>0</v>
      </c>
      <c r="G41" s="284">
        <f t="shared" si="2"/>
        <v>0</v>
      </c>
    </row>
    <row r="42" spans="1:13">
      <c r="A42" s="281"/>
      <c r="B42" s="293">
        <v>0</v>
      </c>
      <c r="C42" s="282" t="s">
        <v>1273</v>
      </c>
      <c r="D42" s="279">
        <f>VLOOKUP(C42,'Refugee cost calculations'!B:E,2,0)</f>
        <v>0</v>
      </c>
      <c r="E42" s="279">
        <f t="shared" si="0"/>
        <v>0</v>
      </c>
      <c r="F42" s="284">
        <f t="shared" si="1"/>
        <v>0</v>
      </c>
      <c r="G42" s="284">
        <f t="shared" si="2"/>
        <v>0</v>
      </c>
    </row>
    <row r="43" spans="1:13">
      <c r="A43" s="281"/>
      <c r="B43" s="293">
        <v>0</v>
      </c>
      <c r="C43" s="282" t="s">
        <v>1449</v>
      </c>
      <c r="D43" s="279">
        <f>VLOOKUP(C43,'Refugee cost calculations'!B:E,2,0)</f>
        <v>0</v>
      </c>
      <c r="E43" s="279">
        <f t="shared" si="0"/>
        <v>0</v>
      </c>
      <c r="F43" s="284">
        <f t="shared" si="1"/>
        <v>0</v>
      </c>
      <c r="G43" s="284">
        <f t="shared" si="2"/>
        <v>0</v>
      </c>
      <c r="H43" s="285"/>
      <c r="I43" s="285"/>
    </row>
    <row r="44" spans="1:13">
      <c r="A44" s="282"/>
      <c r="B44" s="418">
        <v>0</v>
      </c>
      <c r="C44" s="286" t="s">
        <v>1837</v>
      </c>
      <c r="D44" s="285">
        <f>VLOOKUP(C44,'Refugee cost calculations'!B:E,2,0)</f>
        <v>0</v>
      </c>
      <c r="E44" s="279">
        <f t="shared" si="0"/>
        <v>0</v>
      </c>
      <c r="F44" s="284">
        <f t="shared" si="1"/>
        <v>0</v>
      </c>
      <c r="G44" s="284">
        <f t="shared" si="2"/>
        <v>0</v>
      </c>
      <c r="H44" s="418"/>
      <c r="I44" s="286"/>
      <c r="L44" s="284"/>
      <c r="M44" s="284"/>
    </row>
    <row r="45" spans="1:13">
      <c r="A45" s="282"/>
      <c r="B45" s="418">
        <v>0</v>
      </c>
      <c r="C45" s="279" t="s">
        <v>456</v>
      </c>
      <c r="D45" s="285">
        <f>VLOOKUP(C45,'Refugee cost calculations'!B:E,2,0)</f>
        <v>0</v>
      </c>
      <c r="E45" s="279">
        <f t="shared" si="0"/>
        <v>0</v>
      </c>
      <c r="F45" s="284">
        <f t="shared" si="1"/>
        <v>0</v>
      </c>
      <c r="G45" s="284">
        <f t="shared" si="2"/>
        <v>0</v>
      </c>
      <c r="H45" s="285"/>
      <c r="I45" s="285"/>
    </row>
    <row r="46" spans="1:13">
      <c r="A46" s="286"/>
      <c r="B46" s="418">
        <v>0</v>
      </c>
      <c r="C46" s="285" t="s">
        <v>1721</v>
      </c>
      <c r="D46" s="285">
        <f>VLOOKUP(C46,'Refugee cost calculations'!B:E,2,0)</f>
        <v>0</v>
      </c>
      <c r="E46" s="279">
        <f t="shared" si="0"/>
        <v>0</v>
      </c>
      <c r="F46" s="284">
        <f t="shared" si="1"/>
        <v>0</v>
      </c>
      <c r="G46" s="284">
        <f t="shared" si="2"/>
        <v>0</v>
      </c>
      <c r="H46" s="285"/>
      <c r="I46" s="285"/>
    </row>
    <row r="47" spans="1:13">
      <c r="A47" s="281"/>
      <c r="B47" s="418">
        <v>0</v>
      </c>
      <c r="C47" s="279" t="s">
        <v>998</v>
      </c>
      <c r="D47" s="285">
        <f>VLOOKUP(C47,'Refugee cost calculations'!B:E,2,0)</f>
        <v>0</v>
      </c>
      <c r="E47" s="279">
        <f t="shared" si="0"/>
        <v>0</v>
      </c>
      <c r="F47" s="284">
        <f t="shared" si="1"/>
        <v>0</v>
      </c>
      <c r="G47" s="284">
        <f t="shared" si="2"/>
        <v>0</v>
      </c>
    </row>
    <row r="50" spans="3:22">
      <c r="C50" s="414" t="s">
        <v>2717</v>
      </c>
      <c r="D50" s="415">
        <f>SUM(D8:D47)</f>
        <v>3940455</v>
      </c>
      <c r="E50" s="415">
        <f t="shared" ref="E50:G50" si="3">SUM(E8:E47)</f>
        <v>3.9404549999999996</v>
      </c>
      <c r="F50" s="415">
        <f t="shared" si="3"/>
        <v>3.9404549999999996</v>
      </c>
      <c r="G50" s="415">
        <f t="shared" si="3"/>
        <v>3.9404549999999996</v>
      </c>
    </row>
    <row r="54" spans="3:22">
      <c r="K54" s="1008" t="s">
        <v>2768</v>
      </c>
      <c r="L54" s="1008"/>
      <c r="M54" s="1008"/>
      <c r="N54" s="1008"/>
      <c r="O54" s="1008"/>
      <c r="P54" s="1008"/>
      <c r="Q54" s="1008"/>
      <c r="R54" s="1008"/>
      <c r="S54" s="1008"/>
      <c r="T54" s="1008"/>
      <c r="U54" s="1008"/>
      <c r="V54" s="1008"/>
    </row>
    <row r="55" spans="3:22">
      <c r="K55" s="1008"/>
      <c r="L55" s="1008"/>
      <c r="M55" s="1008"/>
      <c r="N55" s="1008"/>
      <c r="O55" s="1008"/>
      <c r="P55" s="1008"/>
      <c r="Q55" s="1008"/>
      <c r="R55" s="1008"/>
      <c r="S55" s="1008"/>
      <c r="T55" s="1008"/>
      <c r="U55" s="1008"/>
      <c r="V55" s="1008"/>
    </row>
    <row r="56" spans="3:22">
      <c r="K56" s="1008"/>
      <c r="L56" s="1008"/>
      <c r="M56" s="1008"/>
      <c r="N56" s="1008"/>
      <c r="O56" s="1008"/>
      <c r="P56" s="1008"/>
      <c r="Q56" s="1008"/>
      <c r="R56" s="1008"/>
      <c r="S56" s="1008"/>
      <c r="T56" s="1008"/>
      <c r="U56" s="1008"/>
      <c r="V56" s="1008"/>
    </row>
    <row r="57" spans="3:22">
      <c r="K57" s="1008"/>
      <c r="L57" s="1008"/>
      <c r="M57" s="1008"/>
      <c r="N57" s="1008"/>
      <c r="O57" s="1008"/>
      <c r="P57" s="1008"/>
      <c r="Q57" s="1008"/>
      <c r="R57" s="1008"/>
      <c r="S57" s="1008"/>
      <c r="T57" s="1008"/>
      <c r="U57" s="1008"/>
      <c r="V57" s="1008"/>
    </row>
  </sheetData>
  <sortState xmlns:xlrd2="http://schemas.microsoft.com/office/spreadsheetml/2017/richdata2" ref="B8:G49">
    <sortCondition descending="1" ref="G8:G49"/>
  </sortState>
  <mergeCells count="1">
    <mergeCell ref="K54:V57"/>
  </mergeCell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2:R87"/>
  <sheetViews>
    <sheetView showGridLines="0" tabSelected="1" topLeftCell="H1" zoomScale="70" zoomScaleNormal="70" workbookViewId="0">
      <selection activeCell="I3" sqref="I3"/>
    </sheetView>
  </sheetViews>
  <sheetFormatPr defaultColWidth="11.5" defaultRowHeight="15.75"/>
  <cols>
    <col min="1" max="1" width="5" style="266" customWidth="1"/>
    <col min="2" max="2" width="23.5" style="266" bestFit="1" customWidth="1"/>
    <col min="3" max="3" width="14" style="266" bestFit="1" customWidth="1"/>
    <col min="4" max="5" width="12.125" style="266" bestFit="1" customWidth="1"/>
    <col min="6" max="6" width="12.125" style="266" customWidth="1"/>
    <col min="7" max="7" width="17" style="266" customWidth="1"/>
    <col min="8" max="8" width="34.625" style="266" bestFit="1" customWidth="1"/>
    <col min="9" max="9" width="12.125" style="266" bestFit="1" customWidth="1"/>
    <col min="10" max="10" width="12.125" style="266" customWidth="1"/>
    <col min="11" max="11" width="15" style="266" customWidth="1"/>
    <col min="12" max="12" width="67.375" style="266" customWidth="1"/>
    <col min="13" max="16384" width="11.5" style="266"/>
  </cols>
  <sheetData>
    <row r="2" spans="2:18">
      <c r="H2" s="223"/>
      <c r="L2" s="1012"/>
      <c r="M2" s="1013"/>
      <c r="N2" s="1013"/>
      <c r="O2" s="1013"/>
      <c r="P2" s="1013"/>
    </row>
    <row r="3" spans="2:18">
      <c r="K3" s="139"/>
      <c r="L3" s="1013"/>
      <c r="M3" s="1013"/>
      <c r="N3" s="1013"/>
      <c r="O3" s="1013"/>
      <c r="P3" s="1013"/>
    </row>
    <row r="4" spans="2:18">
      <c r="H4" s="294"/>
      <c r="M4" s="222"/>
      <c r="N4" s="222"/>
      <c r="O4" s="222"/>
      <c r="P4" s="222"/>
      <c r="Q4" s="228"/>
      <c r="R4" s="222"/>
    </row>
    <row r="5" spans="2:18" s="223" customFormat="1" ht="23.25">
      <c r="B5" s="224" t="s">
        <v>2769</v>
      </c>
      <c r="K5" s="455" t="s">
        <v>2770</v>
      </c>
    </row>
    <row r="7" spans="2:18">
      <c r="B7" s="295" t="s">
        <v>2156</v>
      </c>
      <c r="C7" s="296" t="s">
        <v>292</v>
      </c>
      <c r="D7" s="296" t="s">
        <v>190</v>
      </c>
      <c r="E7" s="296" t="s">
        <v>212</v>
      </c>
      <c r="F7" s="296" t="s">
        <v>2721</v>
      </c>
      <c r="G7" s="297" t="s">
        <v>2771</v>
      </c>
      <c r="H7" s="298" t="s">
        <v>2772</v>
      </c>
      <c r="I7" s="299" t="s">
        <v>2773</v>
      </c>
      <c r="J7" s="274"/>
    </row>
    <row r="8" spans="2:18">
      <c r="B8" s="214" t="s">
        <v>1837</v>
      </c>
      <c r="C8" s="266">
        <f>VLOOKUP(B8,'AGGREGATES by country'!B:J,2,0)</f>
        <v>9.9488636363636367</v>
      </c>
      <c r="D8" s="266">
        <f>VLOOKUP(B8,'AGGREGATES by country'!B:J,3,0)</f>
        <v>8.8836174242424235</v>
      </c>
      <c r="E8" s="266">
        <f>VLOOKUP(B8,'AGGREGATES by country'!B:J,4,0)</f>
        <v>23.782060057969691</v>
      </c>
      <c r="F8" s="266">
        <f>VLOOKUP(B8,'AGGREGATES by country'!B:J,5,0)</f>
        <v>42.614541118575751</v>
      </c>
      <c r="G8" s="266">
        <f>VLOOKUP(B8,'Refugee cost calculations'!B:E, 2, 0)</f>
        <v>0</v>
      </c>
      <c r="H8" s="266">
        <f t="shared" ref="H8:H47" si="0">G8*500*4/1000000000</f>
        <v>0</v>
      </c>
      <c r="I8" s="266">
        <f t="shared" ref="I8:I47" si="1">F8+H8</f>
        <v>42.614541118575751</v>
      </c>
    </row>
    <row r="9" spans="2:18">
      <c r="B9" s="214" t="s">
        <v>1741</v>
      </c>
      <c r="C9" s="266">
        <f>VLOOKUP(B9,'AGGREGATES by country'!B:J,2,0)</f>
        <v>2.0766498671650888</v>
      </c>
      <c r="D9" s="266">
        <f>VLOOKUP(B9,'AGGREGATES by country'!B:J,3,0)</f>
        <v>0.37296906687801584</v>
      </c>
      <c r="E9" s="266">
        <f>VLOOKUP(B9,'AGGREGATES by country'!B:J,4,0)</f>
        <v>3.7678026456566056</v>
      </c>
      <c r="F9" s="266">
        <f>VLOOKUP(B9,'AGGREGATES by country'!B:J,5,0)</f>
        <v>6.2174215796997103</v>
      </c>
      <c r="G9" s="266">
        <f>VLOOKUP(B9,'Refugee cost calculations'!B:E, 2, 0)</f>
        <v>86600</v>
      </c>
      <c r="H9" s="266">
        <f t="shared" si="0"/>
        <v>0.17319999999999999</v>
      </c>
      <c r="I9" s="266">
        <f t="shared" si="1"/>
        <v>6.3906215796997099</v>
      </c>
    </row>
    <row r="10" spans="2:18">
      <c r="B10" s="214" t="s">
        <v>1364</v>
      </c>
      <c r="C10" s="266">
        <f>VLOOKUP(B10,'AGGREGATES by country'!B:J,2,0)</f>
        <v>0.9534211711315429</v>
      </c>
      <c r="D10" s="266">
        <f>VLOOKUP(B10,'AGGREGATES by country'!B:J,3,0)</f>
        <v>0.10284090909090909</v>
      </c>
      <c r="E10" s="266">
        <f>VLOOKUP(B10,'AGGREGATES by country'!B:J,4,0)</f>
        <v>1.8</v>
      </c>
      <c r="F10" s="266">
        <f>VLOOKUP(B10,'AGGREGATES by country'!B:J,5,0)</f>
        <v>2.8562620802224519</v>
      </c>
      <c r="G10" s="266">
        <f>VLOOKUP(B10,'Refugee cost calculations'!B:E, 2, 0)</f>
        <v>1194642</v>
      </c>
      <c r="H10" s="266">
        <f t="shared" si="0"/>
        <v>2.389284</v>
      </c>
      <c r="I10" s="266">
        <f t="shared" si="1"/>
        <v>5.2455460802224518</v>
      </c>
    </row>
    <row r="11" spans="2:18">
      <c r="B11" s="214" t="s">
        <v>840</v>
      </c>
      <c r="C11" s="266">
        <f>VLOOKUP(B11,'AGGREGATES by country'!B:J,2,0)</f>
        <v>1.1499999999999999</v>
      </c>
      <c r="D11" s="266">
        <f>VLOOKUP(B11,'AGGREGATES by country'!B:J,3,0)</f>
        <v>0.75</v>
      </c>
      <c r="E11" s="266">
        <f>VLOOKUP(B11,'AGGREGATES by country'!B:J,4,0)</f>
        <v>1.4395290571969697</v>
      </c>
      <c r="F11" s="266">
        <f>VLOOKUP(B11,'AGGREGATES by country'!B:J,5,0)</f>
        <v>3.3395290571969696</v>
      </c>
      <c r="G11" s="266">
        <f>VLOOKUP(B11,'Refugee cost calculations'!B:E, 2, 0)</f>
        <v>867000</v>
      </c>
      <c r="H11" s="266">
        <f t="shared" si="0"/>
        <v>1.734</v>
      </c>
      <c r="I11" s="266">
        <f t="shared" si="1"/>
        <v>5.0735290571969696</v>
      </c>
    </row>
    <row r="12" spans="2:18">
      <c r="B12" s="214" t="s">
        <v>350</v>
      </c>
      <c r="C12" s="266">
        <f>VLOOKUP(B12,'AGGREGATES by country'!B:J,2,0)</f>
        <v>1.4407092722571113</v>
      </c>
      <c r="D12" s="266">
        <f>VLOOKUP(B12,'AGGREGATES by country'!B:J,3,0)</f>
        <v>0.25024011821204289</v>
      </c>
      <c r="E12" s="266">
        <f>VLOOKUP(B12,'AGGREGATES by country'!B:J,4,0)</f>
        <v>0.91932362269517998</v>
      </c>
      <c r="F12" s="266">
        <f>VLOOKUP(B12,'AGGREGATES by country'!B:J,5,0)</f>
        <v>2.6102730131643339</v>
      </c>
      <c r="G12" s="266">
        <f>VLOOKUP(B12,'Refugee cost calculations'!B:E, 2, 0)</f>
        <v>0</v>
      </c>
      <c r="H12" s="266">
        <f t="shared" si="0"/>
        <v>0</v>
      </c>
      <c r="I12" s="266">
        <f t="shared" si="1"/>
        <v>2.6102730131643339</v>
      </c>
    </row>
    <row r="13" spans="2:18">
      <c r="B13" s="214" t="s">
        <v>763</v>
      </c>
      <c r="C13" s="266">
        <f>VLOOKUP(B13,'AGGREGATES by country'!B:J,2,0)</f>
        <v>1.8</v>
      </c>
      <c r="D13" s="266">
        <f>VLOOKUP(B13,'AGGREGATES by country'!B:J,3,0)</f>
        <v>0.1194314393939394</v>
      </c>
      <c r="E13" s="266">
        <f>VLOOKUP(B13,'AGGREGATES by country'!B:J,4,0)</f>
        <v>0.19375000000000001</v>
      </c>
      <c r="F13" s="266">
        <f>VLOOKUP(B13,'AGGREGATES by country'!B:J,5,0)</f>
        <v>2.1131814393939394</v>
      </c>
      <c r="G13" s="266">
        <f>VLOOKUP(B13,'Refugee cost calculations'!B:E, 2, 0)</f>
        <v>87972</v>
      </c>
      <c r="H13" s="266">
        <f t="shared" si="0"/>
        <v>0.17594399999999999</v>
      </c>
      <c r="I13" s="266">
        <f t="shared" si="1"/>
        <v>2.2891254393939393</v>
      </c>
    </row>
    <row r="14" spans="2:18">
      <c r="B14" s="214" t="s">
        <v>503</v>
      </c>
      <c r="C14" s="266">
        <f>VLOOKUP(B14,'AGGREGATES by country'!B:J,2,0)</f>
        <v>0</v>
      </c>
      <c r="D14" s="266">
        <f>VLOOKUP(B14,'AGGREGATES by country'!B:J,3,0)</f>
        <v>0.10436510548631822</v>
      </c>
      <c r="E14" s="266">
        <f>VLOOKUP(B14,'AGGREGATES by country'!B:J,4,0)</f>
        <v>0.25621643027857555</v>
      </c>
      <c r="F14" s="266">
        <f>VLOOKUP(B14,'AGGREGATES by country'!B:J,5,0)</f>
        <v>0.36058153576489377</v>
      </c>
      <c r="G14" s="266">
        <f>VLOOKUP(B14,'Refugee cost calculations'!B:E, 2, 0)</f>
        <v>382768</v>
      </c>
      <c r="H14" s="266">
        <f t="shared" si="0"/>
        <v>0.76553599999999999</v>
      </c>
      <c r="I14" s="266">
        <f t="shared" si="1"/>
        <v>1.1261175357648938</v>
      </c>
    </row>
    <row r="15" spans="2:18">
      <c r="B15" s="214" t="s">
        <v>1036</v>
      </c>
      <c r="C15" s="266">
        <f>VLOOKUP(B15,'AGGREGATES by country'!B:J,2,0)</f>
        <v>0.31</v>
      </c>
      <c r="D15" s="266">
        <f>VLOOKUP(B15,'AGGREGATES by country'!B:J,3,0)</f>
        <v>3.0707372159090907E-2</v>
      </c>
      <c r="E15" s="266">
        <f>VLOOKUP(B15,'AGGREGATES by country'!B:J,4,0)</f>
        <v>0.15</v>
      </c>
      <c r="F15" s="266">
        <f>VLOOKUP(B15,'AGGREGATES by country'!B:J,5,0)</f>
        <v>0.49070737215909088</v>
      </c>
      <c r="G15" s="266">
        <f>VLOOKUP(B15,'Refugee cost calculations'!B:E, 2, 0)</f>
        <v>141562</v>
      </c>
      <c r="H15" s="266">
        <f t="shared" si="0"/>
        <v>0.28312399999999999</v>
      </c>
      <c r="I15" s="266">
        <f t="shared" si="1"/>
        <v>0.77383137215909081</v>
      </c>
    </row>
    <row r="16" spans="2:18">
      <c r="B16" s="214" t="s">
        <v>1080</v>
      </c>
      <c r="C16" s="266">
        <f>VLOOKUP(B16,'AGGREGATES by country'!B:J,2,0)</f>
        <v>0.56818181818181812</v>
      </c>
      <c r="D16" s="266">
        <f>VLOOKUP(B16,'AGGREGATES by country'!B:J,3,0)</f>
        <v>9.8446969696969686E-2</v>
      </c>
      <c r="E16" s="266">
        <f>VLOOKUP(B16,'AGGREGATES by country'!B:J,4,0)</f>
        <v>0</v>
      </c>
      <c r="F16" s="266">
        <f>VLOOKUP(B16,'AGGREGATES by country'!B:J,5,0)</f>
        <v>0.66662878787878777</v>
      </c>
      <c r="G16" s="266">
        <f>VLOOKUP(B16,'Refugee cost calculations'!B:E, 2, 0)</f>
        <v>0</v>
      </c>
      <c r="H16" s="266">
        <f t="shared" si="0"/>
        <v>0</v>
      </c>
      <c r="I16" s="266">
        <f t="shared" si="1"/>
        <v>0.66662878787878777</v>
      </c>
    </row>
    <row r="17" spans="2:9">
      <c r="B17" s="222" t="s">
        <v>1306</v>
      </c>
      <c r="C17" s="266">
        <f>VLOOKUP(B17,'AGGREGATES by country'!B:J,2,0)</f>
        <v>3.3980252618906609E-2</v>
      </c>
      <c r="D17" s="266">
        <f>VLOOKUP(B17,'AGGREGATES by country'!B:J,3,0)</f>
        <v>3.543654915971689E-2</v>
      </c>
      <c r="E17" s="266">
        <f>VLOOKUP(B17,'AGGREGATES by country'!B:J,4,0)</f>
        <v>0.49368447972463786</v>
      </c>
      <c r="F17" s="266">
        <f>VLOOKUP(B17,'AGGREGATES by country'!B:J,5,0)</f>
        <v>0.56310128150326133</v>
      </c>
      <c r="G17" s="266">
        <f>VLOOKUP(B17,'Refugee cost calculations'!B:E, 2, 0)</f>
        <v>19439</v>
      </c>
      <c r="H17" s="266">
        <f t="shared" si="0"/>
        <v>3.8878000000000003E-2</v>
      </c>
      <c r="I17" s="266">
        <f t="shared" si="1"/>
        <v>0.6019792815032613</v>
      </c>
    </row>
    <row r="18" spans="2:9">
      <c r="B18" s="214" t="s">
        <v>1645</v>
      </c>
      <c r="C18" s="266">
        <f>VLOOKUP(B18,'AGGREGATES by country'!B:J,2,0)</f>
        <v>9.1348484848484846E-2</v>
      </c>
      <c r="D18" s="266">
        <f>VLOOKUP(B18,'AGGREGATES by country'!B:J,3,0)</f>
        <v>8.4840029411210188E-2</v>
      </c>
      <c r="E18" s="266">
        <f>VLOOKUP(B18,'AGGREGATES by country'!B:J,4,0)</f>
        <v>0.18246414973151129</v>
      </c>
      <c r="F18" s="266">
        <f>VLOOKUP(B18,'AGGREGATES by country'!B:J,5,0)</f>
        <v>0.35865266399120632</v>
      </c>
      <c r="G18" s="266">
        <f>VLOOKUP(B18,'Refugee cost calculations'!B:E, 2, 0)</f>
        <v>40765</v>
      </c>
      <c r="H18" s="266">
        <f t="shared" si="0"/>
        <v>8.1530000000000005E-2</v>
      </c>
      <c r="I18" s="266">
        <f t="shared" si="1"/>
        <v>0.44018266399120631</v>
      </c>
    </row>
    <row r="19" spans="2:9">
      <c r="B19" s="214" t="s">
        <v>618</v>
      </c>
      <c r="C19" s="266">
        <f>VLOOKUP(B19,'AGGREGATES by country'!B:J,2,0)</f>
        <v>0.02</v>
      </c>
      <c r="D19" s="266">
        <f>VLOOKUP(B19,'AGGREGATES by country'!B:J,3,0)</f>
        <v>3.7369609635444674E-2</v>
      </c>
      <c r="E19" s="266">
        <f>VLOOKUP(B19,'AGGREGATES by country'!B:J,4,0)</f>
        <v>0.26884611248521345</v>
      </c>
      <c r="F19" s="266">
        <f>VLOOKUP(B19,'AGGREGATES by country'!B:J,5,0)</f>
        <v>0.32621572212065814</v>
      </c>
      <c r="G19" s="266">
        <f>VLOOKUP(B19,'Refugee cost calculations'!B:E, 2, 0)</f>
        <v>30900</v>
      </c>
      <c r="H19" s="266">
        <f t="shared" si="0"/>
        <v>6.1800000000000001E-2</v>
      </c>
      <c r="I19" s="266">
        <f t="shared" si="1"/>
        <v>0.38801572212065816</v>
      </c>
    </row>
    <row r="20" spans="2:9">
      <c r="B20" s="214" t="s">
        <v>1507</v>
      </c>
      <c r="C20" s="266">
        <f>VLOOKUP(B20,'AGGREGATES by country'!B:J,2,0)</f>
        <v>0</v>
      </c>
      <c r="D20" s="266">
        <f>VLOOKUP(B20,'AGGREGATES by country'!B:J,3,0)</f>
        <v>5.0000000000000001E-3</v>
      </c>
      <c r="E20" s="266">
        <f>VLOOKUP(B20,'AGGREGATES by country'!B:J,4,0)</f>
        <v>0.16365189393939394</v>
      </c>
      <c r="F20" s="266">
        <f>VLOOKUP(B20,'AGGREGATES by country'!B:J,5,0)</f>
        <v>0.16865189393939395</v>
      </c>
      <c r="G20" s="266">
        <f>VLOOKUP(B20,'Refugee cost calculations'!B:E, 2, 0)</f>
        <v>79770</v>
      </c>
      <c r="H20" s="266">
        <f t="shared" si="0"/>
        <v>0.15953999999999999</v>
      </c>
      <c r="I20" s="266">
        <f t="shared" si="1"/>
        <v>0.32819189393939396</v>
      </c>
    </row>
    <row r="21" spans="2:9">
      <c r="B21" s="214" t="s">
        <v>1408</v>
      </c>
      <c r="C21" s="266">
        <f>VLOOKUP(B21,'AGGREGATES by country'!B:J,2,0)</f>
        <v>0.25</v>
      </c>
      <c r="D21" s="266">
        <f>VLOOKUP(B21,'AGGREGATES by country'!B:J,3,0)</f>
        <v>1.1999999999999999E-3</v>
      </c>
      <c r="E21" s="266">
        <f>VLOOKUP(B21,'AGGREGATES by country'!B:J,4,0)</f>
        <v>8.7285984848484849E-3</v>
      </c>
      <c r="F21" s="266">
        <f>VLOOKUP(B21,'AGGREGATES by country'!B:J,5,0)</f>
        <v>0.25992859848484845</v>
      </c>
      <c r="G21" s="266">
        <f>VLOOKUP(B21,'Refugee cost calculations'!B:E, 2, 0)</f>
        <v>45714</v>
      </c>
      <c r="H21" s="266">
        <f t="shared" si="0"/>
        <v>9.1427999999999995E-2</v>
      </c>
      <c r="I21" s="266">
        <f t="shared" si="1"/>
        <v>0.35135659848484846</v>
      </c>
    </row>
    <row r="22" spans="2:9">
      <c r="B22" s="214" t="s">
        <v>666</v>
      </c>
      <c r="C22" s="266">
        <f>VLOOKUP(B22,'AGGREGATES by country'!B:J,2,0)</f>
        <v>0</v>
      </c>
      <c r="D22" s="266">
        <f>VLOOKUP(B22,'AGGREGATES by country'!B:J,3,0)</f>
        <v>4.8499989999999998E-3</v>
      </c>
      <c r="E22" s="266">
        <f>VLOOKUP(B22,'AGGREGATES by country'!B:J,4,0)</f>
        <v>0.245</v>
      </c>
      <c r="F22" s="266">
        <f>VLOOKUP(B22,'AGGREGATES by country'!B:J,5,0)</f>
        <v>0.24984999899999999</v>
      </c>
      <c r="G22" s="266">
        <f>VLOOKUP(B22,'Refugee cost calculations'!B:E, 2, 0)</f>
        <v>43909</v>
      </c>
      <c r="H22" s="266">
        <f t="shared" si="0"/>
        <v>8.7817999999999993E-2</v>
      </c>
      <c r="I22" s="266">
        <f t="shared" si="1"/>
        <v>0.337667999</v>
      </c>
    </row>
    <row r="23" spans="2:9">
      <c r="B23" s="214" t="s">
        <v>1587</v>
      </c>
      <c r="C23" s="266">
        <f>VLOOKUP(B23,'AGGREGATES by country'!B:J,2,0)</f>
        <v>0</v>
      </c>
      <c r="D23" s="266">
        <f>VLOOKUP(B23,'AGGREGATES by country'!B:J,3,0)</f>
        <v>4.3885913212121208E-2</v>
      </c>
      <c r="E23" s="266">
        <f>VLOOKUP(B23,'AGGREGATES by country'!B:J,4,0)</f>
        <v>3.7245335227272719E-2</v>
      </c>
      <c r="F23" s="266">
        <f>VLOOKUP(B23,'AGGREGATES by country'!B:J,5,0)</f>
        <v>8.1131248439393927E-2</v>
      </c>
      <c r="G23" s="266">
        <f>VLOOKUP(B23,'Refugee cost calculations'!B:E, 2, 0)</f>
        <v>123888</v>
      </c>
      <c r="H23" s="266">
        <f t="shared" si="0"/>
        <v>0.247776</v>
      </c>
      <c r="I23" s="266">
        <f t="shared" si="1"/>
        <v>0.3289072484393939</v>
      </c>
    </row>
    <row r="24" spans="2:9">
      <c r="B24" s="214" t="s">
        <v>1215</v>
      </c>
      <c r="C24" s="266">
        <f>VLOOKUP(B24,'AGGREGATES by country'!B:J,2,0)</f>
        <v>0.08</v>
      </c>
      <c r="D24" s="266">
        <f>VLOOKUP(B24,'AGGREGATES by country'!B:J,3,0)</f>
        <v>2.6948863636363635E-2</v>
      </c>
      <c r="E24" s="266">
        <f>VLOOKUP(B24,'AGGREGATES by country'!B:J,4,0)</f>
        <v>8.4090909090909091E-2</v>
      </c>
      <c r="F24" s="266">
        <f>VLOOKUP(B24,'AGGREGATES by country'!B:J,5,0)</f>
        <v>0.19103977272727274</v>
      </c>
      <c r="G24" s="266">
        <f>VLOOKUP(B24,'Refugee cost calculations'!B:E, 2, 0)</f>
        <v>66780</v>
      </c>
      <c r="H24" s="266">
        <f t="shared" si="0"/>
        <v>0.13356000000000001</v>
      </c>
      <c r="I24" s="266">
        <f t="shared" si="1"/>
        <v>0.32459977272727275</v>
      </c>
    </row>
    <row r="25" spans="2:9">
      <c r="B25" s="214" t="s">
        <v>1119</v>
      </c>
      <c r="C25" s="266">
        <f>VLOOKUP(B25,'AGGREGATES by country'!B:J,2,0)</f>
        <v>1.4999999999999999E-2</v>
      </c>
      <c r="D25" s="266">
        <f>VLOOKUP(B25,'AGGREGATES by country'!B:J,3,0)</f>
        <v>1.3674169999999999E-3</v>
      </c>
      <c r="E25" s="266">
        <f>VLOOKUP(B25,'AGGREGATES by country'!B:J,4,0)</f>
        <v>0.21879999999999999</v>
      </c>
      <c r="F25" s="266">
        <f>VLOOKUP(B25,'AGGREGATES by country'!B:J,5,0)</f>
        <v>0.23516741699999999</v>
      </c>
      <c r="G25" s="266">
        <f>VLOOKUP(B25,'Refugee cost calculations'!B:E, 2, 0)</f>
        <v>34259</v>
      </c>
      <c r="H25" s="266">
        <f t="shared" si="0"/>
        <v>6.8517999999999996E-2</v>
      </c>
      <c r="I25" s="266">
        <f t="shared" si="1"/>
        <v>0.30368541699999996</v>
      </c>
    </row>
    <row r="26" spans="2:9">
      <c r="B26" s="214" t="s">
        <v>296</v>
      </c>
      <c r="C26" s="266">
        <f>VLOOKUP(B26,'AGGREGATES by country'!B:J,2,0)</f>
        <v>0</v>
      </c>
      <c r="D26" s="266">
        <f>VLOOKUP(B26,'AGGREGATES by country'!B:J,3,0)</f>
        <v>0.1164</v>
      </c>
      <c r="E26" s="266">
        <f>VLOOKUP(B26,'AGGREGATES by country'!B:J,4,0)</f>
        <v>7.5999999999999998E-2</v>
      </c>
      <c r="F26" s="266">
        <f>VLOOKUP(B26,'AGGREGATES by country'!B:J,5,0)</f>
        <v>0.19240000000000002</v>
      </c>
      <c r="G26" s="266">
        <f>VLOOKUP(B26,'Refugee cost calculations'!B:E, 2, 0)</f>
        <v>49000</v>
      </c>
      <c r="H26" s="266">
        <f t="shared" si="0"/>
        <v>9.8000000000000004E-2</v>
      </c>
      <c r="I26" s="266">
        <f t="shared" si="1"/>
        <v>0.29039999999999999</v>
      </c>
    </row>
    <row r="27" spans="2:9">
      <c r="B27" s="222" t="s">
        <v>1702</v>
      </c>
      <c r="C27" s="266">
        <f>VLOOKUP(B27,'AGGREGATES by country'!B:J,2,0)</f>
        <v>0</v>
      </c>
      <c r="D27" s="266">
        <f>VLOOKUP(B27,'AGGREGATES by country'!B:J,3,0)</f>
        <v>1.8416856060606061E-4</v>
      </c>
      <c r="E27" s="266">
        <f>VLOOKUP(B27,'AGGREGATES by country'!B:J,4,0)</f>
        <v>0</v>
      </c>
      <c r="F27" s="266">
        <f>VLOOKUP(B27,'AGGREGATES by country'!B:J,5,0)</f>
        <v>1.8416856060606061E-4</v>
      </c>
      <c r="G27" s="266">
        <f>VLOOKUP(B27,'Refugee cost calculations'!B:E, 2, 0)</f>
        <v>145000</v>
      </c>
      <c r="H27" s="266">
        <f t="shared" si="0"/>
        <v>0.28999999999999998</v>
      </c>
      <c r="I27" s="266">
        <f t="shared" si="1"/>
        <v>0.29018416856060603</v>
      </c>
    </row>
    <row r="28" spans="2:9">
      <c r="B28" s="214" t="s">
        <v>926</v>
      </c>
      <c r="C28" s="266">
        <f>VLOOKUP(B28,'AGGREGATES by country'!B:J,2,0)</f>
        <v>0</v>
      </c>
      <c r="D28" s="266">
        <f>VLOOKUP(B28,'AGGREGATES by country'!B:J,3,0)</f>
        <v>0</v>
      </c>
      <c r="E28" s="266">
        <f>VLOOKUP(B28,'AGGREGATES by country'!B:J,4,0)</f>
        <v>0.24734007386363635</v>
      </c>
      <c r="F28" s="266">
        <f>VLOOKUP(B28,'AGGREGATES by country'!B:J,5,0)</f>
        <v>0.24734007386363635</v>
      </c>
      <c r="G28" s="266">
        <f>VLOOKUP(B28,'Refugee cost calculations'!B:E, 2, 0)</f>
        <v>15565</v>
      </c>
      <c r="H28" s="266">
        <f t="shared" si="0"/>
        <v>3.1130000000000001E-2</v>
      </c>
      <c r="I28" s="266">
        <f t="shared" si="1"/>
        <v>0.27847007386363637</v>
      </c>
    </row>
    <row r="29" spans="2:9">
      <c r="B29" s="214" t="s">
        <v>1147</v>
      </c>
      <c r="C29" s="266">
        <f>VLOOKUP(B29,'AGGREGATES by country'!B:J,2,0)</f>
        <v>5.0000000000000001E-3</v>
      </c>
      <c r="D29" s="266">
        <f>VLOOKUP(B29,'AGGREGATES by country'!B:J,3,0)</f>
        <v>4.2000000000000003E-2</v>
      </c>
      <c r="E29" s="266">
        <f>VLOOKUP(B29,'AGGREGATES by country'!B:J,4,0)</f>
        <v>5.45E-2</v>
      </c>
      <c r="F29" s="266">
        <f>VLOOKUP(B29,'AGGREGATES by country'!B:J,5,0)</f>
        <v>0.10150000000000001</v>
      </c>
      <c r="G29" s="266">
        <f>VLOOKUP(B29,'Refugee cost calculations'!B:E, 2, 0)</f>
        <v>57979</v>
      </c>
      <c r="H29" s="266">
        <f t="shared" si="0"/>
        <v>0.11595800000000001</v>
      </c>
      <c r="I29" s="266">
        <f t="shared" si="1"/>
        <v>0.21745800000000001</v>
      </c>
    </row>
    <row r="30" spans="2:9">
      <c r="B30" s="222" t="s">
        <v>189</v>
      </c>
      <c r="C30" s="266">
        <f>VLOOKUP(B30,'AGGREGATES by country'!B:J,2,0)</f>
        <v>0</v>
      </c>
      <c r="D30" s="266">
        <f>VLOOKUP(B30,'AGGREGATES by country'!B:J,3,0)</f>
        <v>4.7479912344777213E-2</v>
      </c>
      <c r="E30" s="266">
        <f>VLOOKUP(B30,'AGGREGATES by country'!B:J,4,0)</f>
        <v>0.18533767182415831</v>
      </c>
      <c r="F30" s="266">
        <f>VLOOKUP(B30,'AGGREGATES by country'!B:J,5,0)</f>
        <v>0.23281758416893553</v>
      </c>
      <c r="G30" s="266">
        <f>VLOOKUP(B30,'Refugee cost calculations'!B:E, 2, 0)</f>
        <v>0</v>
      </c>
      <c r="H30" s="266">
        <f t="shared" si="0"/>
        <v>0</v>
      </c>
      <c r="I30" s="266">
        <f t="shared" si="1"/>
        <v>0.23281758416893553</v>
      </c>
    </row>
    <row r="31" spans="2:9">
      <c r="B31" s="214" t="s">
        <v>257</v>
      </c>
      <c r="C31" s="266">
        <f>VLOOKUP(B31,'AGGREGATES by country'!B:J,2,0)</f>
        <v>0.01</v>
      </c>
      <c r="D31" s="266">
        <f>VLOOKUP(B31,'AGGREGATES by country'!B:J,3,0)</f>
        <v>4.5133901515151516E-2</v>
      </c>
      <c r="E31" s="266">
        <f>VLOOKUP(B31,'AGGREGATES by country'!B:J,4,0)</f>
        <v>3.3860407670454539E-3</v>
      </c>
      <c r="F31" s="266">
        <f>VLOOKUP(B31,'AGGREGATES by country'!B:J,5,0)</f>
        <v>5.8519942282196973E-2</v>
      </c>
      <c r="G31" s="266">
        <f>VLOOKUP(B31,'Refugee cost calculations'!B:E, 2, 0)</f>
        <v>73768</v>
      </c>
      <c r="H31" s="266">
        <f t="shared" si="0"/>
        <v>0.147536</v>
      </c>
      <c r="I31" s="266">
        <f t="shared" si="1"/>
        <v>0.20605594228219698</v>
      </c>
    </row>
    <row r="32" spans="2:9">
      <c r="B32" s="214" t="s">
        <v>1478</v>
      </c>
      <c r="C32" s="266">
        <f>VLOOKUP(B32,'AGGREGATES by country'!B:J,2,0)</f>
        <v>0</v>
      </c>
      <c r="D32" s="266">
        <f>VLOOKUP(B32,'AGGREGATES by country'!B:J,3,0)</f>
        <v>6.6393374717699802E-3</v>
      </c>
      <c r="E32" s="266">
        <f>VLOOKUP(B32,'AGGREGATES by country'!B:J,4,0)</f>
        <v>3.0000000000000001E-3</v>
      </c>
      <c r="F32" s="266">
        <f>VLOOKUP(B32,'AGGREGATES by country'!B:J,5,0)</f>
        <v>9.6393374717699803E-3</v>
      </c>
      <c r="G32" s="266">
        <f>VLOOKUP(B32,'Refugee cost calculations'!B:E, 2, 0)</f>
        <v>83321</v>
      </c>
      <c r="H32" s="266">
        <f t="shared" si="0"/>
        <v>0.16664200000000001</v>
      </c>
      <c r="I32" s="266">
        <f t="shared" si="1"/>
        <v>0.17628133747176999</v>
      </c>
    </row>
    <row r="33" spans="2:15">
      <c r="B33" s="222" t="s">
        <v>1694</v>
      </c>
      <c r="C33" s="266">
        <f>VLOOKUP(B33,'AGGREGATES by country'!B:J,2,0)</f>
        <v>0</v>
      </c>
      <c r="D33" s="266">
        <f>VLOOKUP(B33,'AGGREGATES by country'!B:J,3,0)</f>
        <v>5.8622374206155348E-2</v>
      </c>
      <c r="E33" s="266">
        <f>VLOOKUP(B33,'AGGREGATES by country'!B:J,4,0)</f>
        <v>0</v>
      </c>
      <c r="F33" s="266">
        <f>VLOOKUP(B33,'AGGREGATES by country'!B:J,5,0)</f>
        <v>5.8622374206155348E-2</v>
      </c>
      <c r="G33" s="266">
        <f>VLOOKUP(B33,'Refugee cost calculations'!B:E, 2, 0)</f>
        <v>55336</v>
      </c>
      <c r="H33" s="266">
        <f t="shared" si="0"/>
        <v>0.11067200000000001</v>
      </c>
      <c r="I33" s="266">
        <f t="shared" si="1"/>
        <v>0.16929437420615534</v>
      </c>
    </row>
    <row r="34" spans="2:15">
      <c r="B34" s="266" t="s">
        <v>329</v>
      </c>
      <c r="C34" s="266">
        <f>VLOOKUP(B34,'AGGREGATES by country'!B:J,2,0)</f>
        <v>0</v>
      </c>
      <c r="D34" s="266">
        <f>VLOOKUP(B34,'AGGREGATES by country'!B:J,3,0)</f>
        <v>7.0600000000000003E-4</v>
      </c>
      <c r="E34" s="266">
        <f>VLOOKUP(B34,'AGGREGATES by country'!B:J,4,0)</f>
        <v>3.5984848484848482E-3</v>
      </c>
      <c r="F34" s="266">
        <f>VLOOKUP(B34,'AGGREGATES by country'!B:J,5,0)</f>
        <v>4.3044848484848483E-3</v>
      </c>
      <c r="G34" s="266">
        <f>VLOOKUP(B34,'Refugee cost calculations'!B:E, 2, 0)</f>
        <v>82432</v>
      </c>
      <c r="H34" s="266">
        <f t="shared" si="0"/>
        <v>0.16486400000000001</v>
      </c>
      <c r="I34" s="266">
        <f t="shared" si="1"/>
        <v>0.16916848484848485</v>
      </c>
    </row>
    <row r="35" spans="2:15">
      <c r="B35" s="214" t="s">
        <v>701</v>
      </c>
      <c r="C35" s="266">
        <f>VLOOKUP(B35,'AGGREGATES by country'!B:J,2,0)</f>
        <v>7.4999999999999997E-2</v>
      </c>
      <c r="D35" s="266">
        <f>VLOOKUP(B35,'AGGREGATES by country'!B:J,3,0)</f>
        <v>5.4709375000000001E-3</v>
      </c>
      <c r="E35" s="266">
        <f>VLOOKUP(B35,'AGGREGATES by country'!B:J,4,0)</f>
        <v>2.93E-2</v>
      </c>
      <c r="F35" s="266">
        <f>VLOOKUP(B35,'AGGREGATES by country'!B:J,5,0)</f>
        <v>0.1097709375</v>
      </c>
      <c r="G35" s="266">
        <f>VLOOKUP(B35,'Refugee cost calculations'!B:E, 2, 0)</f>
        <v>26629</v>
      </c>
      <c r="H35" s="266">
        <f t="shared" si="0"/>
        <v>5.3258E-2</v>
      </c>
      <c r="I35" s="266">
        <f t="shared" si="1"/>
        <v>0.1630289375</v>
      </c>
    </row>
    <row r="36" spans="2:15">
      <c r="B36" s="214" t="s">
        <v>1006</v>
      </c>
      <c r="C36" s="266">
        <f>VLOOKUP(B36,'AGGREGATES by country'!B:J,2,0)</f>
        <v>0</v>
      </c>
      <c r="D36" s="266">
        <f>VLOOKUP(B36,'AGGREGATES by country'!B:J,3,0)</f>
        <v>6.7688318181818183E-2</v>
      </c>
      <c r="E36" s="266">
        <f>VLOOKUP(B36,'AGGREGATES by country'!B:J,4,0)</f>
        <v>0</v>
      </c>
      <c r="F36" s="266">
        <f>VLOOKUP(B36,'AGGREGATES by country'!B:J,5,0)</f>
        <v>6.7688318181818183E-2</v>
      </c>
      <c r="G36" s="266">
        <f>VLOOKUP(B36,'Refugee cost calculations'!B:E, 2, 0)</f>
        <v>38288</v>
      </c>
      <c r="H36" s="266">
        <f t="shared" si="0"/>
        <v>7.6576000000000005E-2</v>
      </c>
      <c r="I36" s="266">
        <f t="shared" si="1"/>
        <v>0.14426431818181817</v>
      </c>
    </row>
    <row r="37" spans="2:15">
      <c r="B37" s="214" t="s">
        <v>963</v>
      </c>
      <c r="C37" s="266">
        <f>VLOOKUP(B37,'AGGREGATES by country'!B:J,2,0)</f>
        <v>0</v>
      </c>
      <c r="D37" s="266">
        <f>VLOOKUP(B37,'AGGREGATES by country'!B:J,3,0)</f>
        <v>4.5396535278737327E-2</v>
      </c>
      <c r="E37" s="266">
        <f>VLOOKUP(B37,'AGGREGATES by country'!B:J,4,0)</f>
        <v>0</v>
      </c>
      <c r="F37" s="266">
        <f>VLOOKUP(B37,'AGGREGATES by country'!B:J,5,0)</f>
        <v>4.5396535278737327E-2</v>
      </c>
      <c r="G37" s="266">
        <f>VLOOKUP(B37,'Refugee cost calculations'!B:E, 2, 0)</f>
        <v>25800</v>
      </c>
      <c r="H37" s="266">
        <f t="shared" si="0"/>
        <v>5.16E-2</v>
      </c>
      <c r="I37" s="266">
        <f t="shared" si="1"/>
        <v>9.6996535278737334E-2</v>
      </c>
    </row>
    <row r="38" spans="2:15">
      <c r="B38" s="214" t="s">
        <v>1187</v>
      </c>
      <c r="C38" s="266">
        <f>VLOOKUP(B38,'AGGREGATES by country'!B:J,2,0)</f>
        <v>0</v>
      </c>
      <c r="D38" s="266">
        <f>VLOOKUP(B38,'AGGREGATES by country'!B:J,3,0)</f>
        <v>4.0000000000000001E-3</v>
      </c>
      <c r="E38" s="266">
        <f>VLOOKUP(B38,'AGGREGATES by country'!B:J,4,0)</f>
        <v>0.05</v>
      </c>
      <c r="F38" s="266">
        <f>VLOOKUP(B38,'AGGREGATES by country'!B:J,5,0)</f>
        <v>5.4000000000000006E-2</v>
      </c>
      <c r="G38" s="266">
        <f>VLOOKUP(B38,'Refugee cost calculations'!B:E, 2, 0)</f>
        <v>5775</v>
      </c>
      <c r="H38" s="266">
        <f t="shared" si="0"/>
        <v>1.155E-2</v>
      </c>
      <c r="I38" s="266">
        <f t="shared" si="1"/>
        <v>6.5550000000000011E-2</v>
      </c>
    </row>
    <row r="39" spans="2:15">
      <c r="B39" s="214" t="s">
        <v>464</v>
      </c>
      <c r="C39" s="266">
        <f>VLOOKUP(B39,'AGGREGATES by country'!B:J,2,0)</f>
        <v>0</v>
      </c>
      <c r="D39" s="266">
        <f>VLOOKUP(B39,'AGGREGATES by country'!B:J,3,0)</f>
        <v>6.4437766925785666E-3</v>
      </c>
      <c r="E39" s="266">
        <f>VLOOKUP(B39,'AGGREGATES by country'!B:J,4,0)</f>
        <v>1.6477310477709121E-2</v>
      </c>
      <c r="F39" s="266">
        <f>VLOOKUP(B39,'AGGREGATES by country'!B:J,5,0)</f>
        <v>2.2921087170287686E-2</v>
      </c>
      <c r="G39" s="266">
        <f>VLOOKUP(B39,'Refugee cost calculations'!B:E, 2, 0)</f>
        <v>15005</v>
      </c>
      <c r="H39" s="266">
        <f t="shared" si="0"/>
        <v>3.0009999999999998E-2</v>
      </c>
      <c r="I39" s="266">
        <f t="shared" si="1"/>
        <v>5.2931087170287688E-2</v>
      </c>
    </row>
    <row r="40" spans="2:15">
      <c r="B40" s="222" t="s">
        <v>1449</v>
      </c>
      <c r="C40" s="266">
        <f>VLOOKUP(B40,'AGGREGATES by country'!B:J,2,0)</f>
        <v>0</v>
      </c>
      <c r="D40" s="266">
        <f>VLOOKUP(B40,'AGGREGATES by country'!B:J,3,0)</f>
        <v>3.901515151515151E-2</v>
      </c>
      <c r="E40" s="266">
        <f>VLOOKUP(B40,'AGGREGATES by country'!B:J,4,0)</f>
        <v>3.3901515151515149E-3</v>
      </c>
      <c r="F40" s="266">
        <f>VLOOKUP(B40,'AGGREGATES by country'!B:J,5,0)</f>
        <v>4.2405303030303022E-2</v>
      </c>
      <c r="G40" s="266">
        <f>VLOOKUP(B40,'Refugee cost calculations'!B:E, 2, 0)</f>
        <v>0</v>
      </c>
      <c r="H40" s="266">
        <f t="shared" si="0"/>
        <v>0</v>
      </c>
      <c r="I40" s="266">
        <f t="shared" si="1"/>
        <v>4.2405303030303022E-2</v>
      </c>
    </row>
    <row r="41" spans="2:15">
      <c r="B41" s="214" t="s">
        <v>490</v>
      </c>
      <c r="C41" s="266">
        <f>VLOOKUP(B41,'AGGREGATES by country'!B:J,2,0)</f>
        <v>0</v>
      </c>
      <c r="D41" s="266">
        <f>VLOOKUP(B41,'AGGREGATES by country'!B:J,3,0)</f>
        <v>2.3939393939393936E-3</v>
      </c>
      <c r="E41" s="266">
        <f>VLOOKUP(B41,'AGGREGATES by country'!B:J,4,0)</f>
        <v>0</v>
      </c>
      <c r="F41" s="266">
        <f>VLOOKUP(B41,'AGGREGATES by country'!B:J,5,0)</f>
        <v>2.3939393939393936E-3</v>
      </c>
      <c r="G41" s="266">
        <f>VLOOKUP(B41,'Refugee cost calculations'!B:E, 2, 0)</f>
        <v>12478</v>
      </c>
      <c r="H41" s="266">
        <f t="shared" si="0"/>
        <v>2.4955999999999999E-2</v>
      </c>
      <c r="I41" s="266">
        <f t="shared" si="1"/>
        <v>2.7349939393939392E-2</v>
      </c>
    </row>
    <row r="42" spans="2:15">
      <c r="B42" s="214" t="s">
        <v>1546</v>
      </c>
      <c r="C42" s="266">
        <f>VLOOKUP(B42,'AGGREGATES by country'!B:J,2,0)</f>
        <v>0</v>
      </c>
      <c r="D42" s="266">
        <f>VLOOKUP(B42,'AGGREGATES by country'!B:J,3,0)</f>
        <v>2.0830000000000002E-3</v>
      </c>
      <c r="E42" s="266">
        <f>VLOOKUP(B42,'AGGREGATES by country'!B:J,4,0)</f>
        <v>6.628787878787879E-3</v>
      </c>
      <c r="F42" s="266">
        <f>VLOOKUP(B42,'AGGREGATES by country'!B:J,5,0)</f>
        <v>8.7117878787878796E-3</v>
      </c>
      <c r="G42" s="266">
        <f>VLOOKUP(B42,'Refugee cost calculations'!B:E, 2, 0)</f>
        <v>6861</v>
      </c>
      <c r="H42" s="266">
        <f t="shared" si="0"/>
        <v>1.3722E-2</v>
      </c>
      <c r="I42" s="266">
        <f t="shared" si="1"/>
        <v>2.2433787878787879E-2</v>
      </c>
    </row>
    <row r="43" spans="2:15" ht="15" customHeight="1">
      <c r="B43" s="222" t="s">
        <v>1273</v>
      </c>
      <c r="C43" s="266">
        <f>VLOOKUP(B43,'AGGREGATES by country'!B:J,2,0)</f>
        <v>0</v>
      </c>
      <c r="D43" s="266">
        <f>VLOOKUP(B43,'AGGREGATES by country'!B:J,3,0)</f>
        <v>2.4019696150843692E-3</v>
      </c>
      <c r="E43" s="266">
        <f>VLOOKUP(B43,'AGGREGATES by country'!B:J,4,0)</f>
        <v>1.3818429492297321E-2</v>
      </c>
      <c r="F43" s="266">
        <f>VLOOKUP(B43,'AGGREGATES by country'!B:J,5,0)</f>
        <v>1.622039910738169E-2</v>
      </c>
      <c r="G43" s="266">
        <f>VLOOKUP(B43,'Refugee cost calculations'!B:E, 2, 0)</f>
        <v>0</v>
      </c>
      <c r="H43" s="266">
        <f t="shared" si="0"/>
        <v>0</v>
      </c>
      <c r="I43" s="266">
        <f t="shared" si="1"/>
        <v>1.622039910738169E-2</v>
      </c>
      <c r="M43" s="218"/>
      <c r="N43" s="218"/>
    </row>
    <row r="44" spans="2:15">
      <c r="B44" s="489" t="s">
        <v>1721</v>
      </c>
      <c r="C44" s="489">
        <f>VLOOKUP(B44,'AGGREGATES by country'!B:J,2,0)</f>
        <v>0</v>
      </c>
      <c r="D44" s="489">
        <f>VLOOKUP(B44,'AGGREGATES by country'!B:J,3,0)</f>
        <v>1.1837121212121207E-2</v>
      </c>
      <c r="E44" s="489">
        <f>VLOOKUP(B44,'AGGREGATES by country'!B:J,4,0)</f>
        <v>0</v>
      </c>
      <c r="F44" s="489">
        <f>VLOOKUP(B44,'AGGREGATES by country'!B:J,5,0)</f>
        <v>1.1837121212121207E-2</v>
      </c>
      <c r="G44" s="489">
        <f>VLOOKUP(B44,'Refugee cost calculations'!B:E, 2, 0)</f>
        <v>0</v>
      </c>
      <c r="H44" s="266">
        <f t="shared" si="0"/>
        <v>0</v>
      </c>
      <c r="I44" s="489">
        <f t="shared" si="1"/>
        <v>1.1837121212121207E-2</v>
      </c>
      <c r="L44" s="218"/>
      <c r="M44" s="218"/>
      <c r="N44" s="218"/>
    </row>
    <row r="45" spans="2:15">
      <c r="B45" s="217" t="s">
        <v>1207</v>
      </c>
      <c r="C45" s="489">
        <f>VLOOKUP(B45,'AGGREGATES by country'!B:J,2,0)</f>
        <v>0</v>
      </c>
      <c r="D45" s="489">
        <f>VLOOKUP(B45,'AGGREGATES by country'!B:J,3,0)</f>
        <v>1.15E-3</v>
      </c>
      <c r="E45" s="489">
        <f>VLOOKUP(B45,'AGGREGATES by country'!B:J,4,0)</f>
        <v>0</v>
      </c>
      <c r="F45" s="489">
        <f>VLOOKUP(B45,'AGGREGATES by country'!B:J,5,0)</f>
        <v>1.15E-3</v>
      </c>
      <c r="G45" s="489">
        <f>VLOOKUP(B45,'Refugee cost calculations'!B:E, 2, 0)</f>
        <v>1250</v>
      </c>
      <c r="H45" s="266">
        <f t="shared" si="0"/>
        <v>2.5000000000000001E-3</v>
      </c>
      <c r="I45" s="489">
        <f t="shared" si="1"/>
        <v>3.65E-3</v>
      </c>
      <c r="L45" s="218"/>
      <c r="M45" s="218"/>
      <c r="N45" s="218"/>
    </row>
    <row r="46" spans="2:15" ht="17.25" customHeight="1">
      <c r="B46" s="266" t="s">
        <v>456</v>
      </c>
      <c r="C46" s="489">
        <f>VLOOKUP(B46,'AGGREGATES by country'!B:J,2,0)</f>
        <v>0</v>
      </c>
      <c r="D46" s="489">
        <f>VLOOKUP(B46,'AGGREGATES by country'!B:J,3,0)</f>
        <v>2.1217307665106011E-3</v>
      </c>
      <c r="E46" s="489">
        <f>VLOOKUP(B46,'AGGREGATES by country'!B:J,4,0)</f>
        <v>0</v>
      </c>
      <c r="F46" s="489">
        <f>VLOOKUP(B46,'AGGREGATES by country'!B:J,5,0)</f>
        <v>2.1217307665106011E-3</v>
      </c>
      <c r="G46" s="489">
        <f>VLOOKUP(B46,'Refugee cost calculations'!B:E, 2, 0)</f>
        <v>0</v>
      </c>
      <c r="H46" s="266">
        <f t="shared" si="0"/>
        <v>0</v>
      </c>
      <c r="I46" s="489">
        <f t="shared" si="1"/>
        <v>2.1217307665106011E-3</v>
      </c>
    </row>
    <row r="47" spans="2:15" ht="15.75" customHeight="1">
      <c r="B47" s="510" t="s">
        <v>998</v>
      </c>
      <c r="C47" s="489">
        <f>VLOOKUP(B47,'AGGREGATES by country'!B:J,2,0)</f>
        <v>0</v>
      </c>
      <c r="D47" s="489">
        <f>VLOOKUP(B47,'AGGREGATES by country'!B:J,3,0)</f>
        <v>1.7708333333333332E-3</v>
      </c>
      <c r="E47" s="489">
        <f>VLOOKUP(B47,'AGGREGATES by country'!B:J,4,0)</f>
        <v>0</v>
      </c>
      <c r="F47" s="489">
        <f>VLOOKUP(B47,'AGGREGATES by country'!B:J,5,0)</f>
        <v>1.7708333333333332E-3</v>
      </c>
      <c r="G47" s="489">
        <f>VLOOKUP(B47,'Refugee cost calculations'!B:E, 2, 0)</f>
        <v>0</v>
      </c>
      <c r="H47" s="266">
        <f t="shared" si="0"/>
        <v>0</v>
      </c>
      <c r="I47" s="489">
        <f t="shared" si="1"/>
        <v>1.7708333333333332E-3</v>
      </c>
      <c r="L47" s="1000" t="s">
        <v>2774</v>
      </c>
      <c r="M47" s="1000"/>
      <c r="N47" s="1000"/>
      <c r="O47" s="1000"/>
    </row>
    <row r="48" spans="2:15" s="223" customFormat="1" ht="15.75" customHeight="1">
      <c r="B48" s="300"/>
      <c r="C48" s="82"/>
      <c r="D48" s="301"/>
      <c r="E48" s="302"/>
      <c r="F48" s="82"/>
      <c r="G48" s="267"/>
      <c r="L48" s="1000"/>
      <c r="M48" s="1000"/>
      <c r="N48" s="1000"/>
      <c r="O48" s="1000"/>
    </row>
    <row r="49" spans="2:15" ht="15.75" customHeight="1">
      <c r="B49" s="300"/>
      <c r="C49" s="82"/>
      <c r="D49" s="301"/>
      <c r="E49" s="302"/>
      <c r="F49" s="82"/>
      <c r="L49" s="1000"/>
      <c r="M49" s="1000"/>
      <c r="N49" s="1000"/>
      <c r="O49" s="1000"/>
    </row>
    <row r="50" spans="2:15" ht="15" customHeight="1">
      <c r="B50" s="419" t="s">
        <v>2717</v>
      </c>
      <c r="C50" s="420">
        <f>SUM(C8:C47)</f>
        <v>18.828154502566584</v>
      </c>
      <c r="D50" s="420">
        <f t="shared" ref="D50:I50" si="2">SUM(D8:D47)</f>
        <v>11.462455793802301</v>
      </c>
      <c r="E50" s="420">
        <f t="shared" si="2"/>
        <v>34.703970243148071</v>
      </c>
      <c r="F50" s="420">
        <f t="shared" si="2"/>
        <v>64.994580539516988</v>
      </c>
      <c r="G50" s="420">
        <f t="shared" si="2"/>
        <v>3940455</v>
      </c>
      <c r="H50" s="420">
        <f t="shared" si="2"/>
        <v>7.8809099999999992</v>
      </c>
      <c r="I50" s="420">
        <f t="shared" si="2"/>
        <v>72.87549053951696</v>
      </c>
      <c r="L50" s="1000"/>
      <c r="M50" s="1000"/>
      <c r="N50" s="1000"/>
      <c r="O50" s="1000"/>
    </row>
    <row r="51" spans="2:15">
      <c r="B51" s="300"/>
      <c r="C51" s="82"/>
      <c r="D51" s="301"/>
      <c r="E51" s="302"/>
      <c r="F51" s="82"/>
      <c r="L51" s="1000"/>
      <c r="M51" s="1000"/>
      <c r="N51" s="1000"/>
      <c r="O51" s="1000"/>
    </row>
    <row r="52" spans="2:15">
      <c r="B52" s="300"/>
      <c r="C52" s="82"/>
      <c r="D52" s="301"/>
      <c r="E52" s="302"/>
      <c r="F52" s="82"/>
      <c r="L52" s="1000"/>
      <c r="M52" s="1000"/>
      <c r="N52" s="1000"/>
      <c r="O52" s="1000"/>
    </row>
    <row r="53" spans="2:15">
      <c r="B53" s="300"/>
      <c r="C53" s="82"/>
      <c r="D53" s="301"/>
      <c r="E53" s="302"/>
      <c r="F53" s="82"/>
    </row>
    <row r="54" spans="2:15">
      <c r="B54" s="303"/>
      <c r="C54" s="82"/>
      <c r="D54" s="304"/>
      <c r="E54" s="302"/>
      <c r="F54" s="82"/>
    </row>
    <row r="55" spans="2:15">
      <c r="B55" s="303"/>
      <c r="C55" s="82"/>
      <c r="D55" s="305"/>
      <c r="E55" s="302"/>
      <c r="F55" s="82"/>
    </row>
    <row r="56" spans="2:15">
      <c r="B56" s="303"/>
      <c r="C56" s="82"/>
      <c r="D56" s="305"/>
      <c r="E56" s="302"/>
      <c r="F56" s="82"/>
    </row>
    <row r="57" spans="2:15">
      <c r="B57" s="303"/>
      <c r="C57" s="82"/>
      <c r="D57" s="305"/>
      <c r="E57" s="302"/>
      <c r="F57" s="82"/>
    </row>
    <row r="58" spans="2:15">
      <c r="B58" s="303"/>
      <c r="C58" s="82"/>
      <c r="D58" s="305"/>
      <c r="E58" s="302"/>
      <c r="F58" s="82"/>
    </row>
    <row r="59" spans="2:15">
      <c r="B59" s="303"/>
      <c r="C59" s="82"/>
      <c r="D59" s="305"/>
      <c r="E59" s="302"/>
      <c r="F59" s="82"/>
    </row>
    <row r="60" spans="2:15">
      <c r="B60" s="303"/>
      <c r="C60" s="82"/>
      <c r="D60" s="305"/>
      <c r="E60" s="302"/>
      <c r="F60" s="82"/>
    </row>
    <row r="61" spans="2:15">
      <c r="B61" s="303"/>
      <c r="C61" s="82"/>
      <c r="D61" s="305"/>
      <c r="E61" s="302"/>
      <c r="F61" s="82"/>
    </row>
    <row r="62" spans="2:15">
      <c r="B62" s="303"/>
      <c r="C62" s="82"/>
      <c r="D62" s="305"/>
      <c r="E62" s="302"/>
      <c r="F62" s="82"/>
    </row>
    <row r="63" spans="2:15">
      <c r="B63" s="303"/>
      <c r="C63" s="82"/>
      <c r="D63" s="304"/>
      <c r="E63" s="302"/>
      <c r="F63" s="82"/>
    </row>
    <row r="64" spans="2:15">
      <c r="B64" s="303"/>
      <c r="C64" s="82"/>
      <c r="D64" s="305"/>
      <c r="E64" s="302"/>
      <c r="F64" s="82"/>
    </row>
    <row r="65" spans="2:6">
      <c r="B65" s="303"/>
      <c r="C65" s="82"/>
      <c r="D65" s="305"/>
      <c r="E65" s="302"/>
      <c r="F65" s="82"/>
    </row>
    <row r="66" spans="2:6">
      <c r="B66" s="303"/>
      <c r="C66" s="82"/>
      <c r="D66" s="305"/>
      <c r="E66" s="302"/>
      <c r="F66" s="82"/>
    </row>
    <row r="67" spans="2:6">
      <c r="B67" s="303"/>
      <c r="C67" s="82"/>
      <c r="D67" s="305"/>
      <c r="E67" s="302"/>
      <c r="F67" s="82"/>
    </row>
    <row r="68" spans="2:6">
      <c r="B68" s="303"/>
      <c r="C68" s="82"/>
      <c r="D68" s="305"/>
      <c r="E68" s="302"/>
      <c r="F68" s="82"/>
    </row>
    <row r="69" spans="2:6">
      <c r="B69" s="303"/>
      <c r="C69" s="82"/>
      <c r="D69" s="305"/>
      <c r="E69" s="302"/>
      <c r="F69" s="82"/>
    </row>
    <row r="70" spans="2:6">
      <c r="B70" s="303"/>
      <c r="C70" s="82"/>
      <c r="D70" s="305"/>
      <c r="E70" s="302"/>
      <c r="F70" s="82"/>
    </row>
    <row r="71" spans="2:6">
      <c r="B71" s="303"/>
      <c r="C71" s="82"/>
      <c r="D71" s="305"/>
      <c r="E71" s="302"/>
      <c r="F71" s="82"/>
    </row>
    <row r="72" spans="2:6">
      <c r="B72" s="303"/>
      <c r="C72" s="82"/>
      <c r="D72" s="305"/>
      <c r="E72" s="302"/>
      <c r="F72" s="82"/>
    </row>
    <row r="73" spans="2:6">
      <c r="B73" s="303"/>
      <c r="C73" s="82"/>
      <c r="D73" s="305"/>
      <c r="E73" s="302"/>
      <c r="F73" s="82"/>
    </row>
    <row r="74" spans="2:6">
      <c r="B74" s="303"/>
      <c r="C74" s="82"/>
      <c r="D74" s="305"/>
      <c r="E74" s="302"/>
      <c r="F74" s="82"/>
    </row>
    <row r="75" spans="2:6">
      <c r="B75" s="303"/>
      <c r="C75" s="82"/>
      <c r="D75" s="305"/>
      <c r="E75" s="302"/>
      <c r="F75" s="82"/>
    </row>
    <row r="76" spans="2:6">
      <c r="B76" s="303"/>
      <c r="C76" s="82"/>
      <c r="D76" s="305"/>
      <c r="E76" s="302"/>
      <c r="F76" s="82"/>
    </row>
    <row r="77" spans="2:6">
      <c r="B77" s="303"/>
      <c r="C77" s="82"/>
      <c r="D77" s="304"/>
      <c r="E77" s="302"/>
      <c r="F77" s="82"/>
    </row>
    <row r="78" spans="2:6">
      <c r="B78" s="303"/>
      <c r="C78" s="82"/>
      <c r="D78" s="305"/>
      <c r="E78" s="302"/>
      <c r="F78" s="82"/>
    </row>
    <row r="79" spans="2:6">
      <c r="B79" s="275"/>
      <c r="C79" s="233"/>
      <c r="D79" s="234"/>
      <c r="E79" s="234"/>
      <c r="F79" s="234"/>
    </row>
    <row r="80" spans="2:6" ht="15" customHeight="1">
      <c r="B80" s="275"/>
      <c r="C80" s="233"/>
      <c r="D80" s="234"/>
      <c r="E80" s="234"/>
      <c r="F80" s="234"/>
    </row>
    <row r="81" spans="2:6" ht="15" customHeight="1">
      <c r="C81" s="233"/>
      <c r="D81" s="306"/>
      <c r="E81" s="234"/>
      <c r="F81" s="234"/>
    </row>
    <row r="82" spans="2:6" ht="15" customHeight="1">
      <c r="B82" s="275"/>
      <c r="C82" s="233"/>
      <c r="D82" s="234"/>
      <c r="E82" s="234"/>
      <c r="F82" s="234"/>
    </row>
    <row r="83" spans="2:6" ht="15" customHeight="1">
      <c r="B83" s="275"/>
      <c r="C83" s="233"/>
      <c r="D83" s="234"/>
      <c r="E83" s="234"/>
      <c r="F83" s="234"/>
    </row>
    <row r="84" spans="2:6" ht="15" customHeight="1">
      <c r="C84" s="233"/>
      <c r="D84" s="234"/>
      <c r="E84" s="234"/>
      <c r="F84" s="234"/>
    </row>
    <row r="85" spans="2:6">
      <c r="C85" s="233"/>
      <c r="D85" s="234"/>
      <c r="E85" s="234"/>
      <c r="F85" s="234"/>
    </row>
    <row r="86" spans="2:6">
      <c r="C86" s="233"/>
      <c r="D86" s="234"/>
      <c r="E86" s="234"/>
      <c r="F86" s="234"/>
    </row>
    <row r="87" spans="2:6">
      <c r="C87" s="233"/>
      <c r="D87" s="234"/>
      <c r="E87" s="234"/>
      <c r="F87" s="234"/>
    </row>
  </sheetData>
  <sortState xmlns:xlrd2="http://schemas.microsoft.com/office/spreadsheetml/2017/richdata2" ref="B8:I47">
    <sortCondition descending="1" ref="I8:I47"/>
  </sortState>
  <mergeCells count="2">
    <mergeCell ref="L2:P3"/>
    <mergeCell ref="L47:O5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P170"/>
  <sheetViews>
    <sheetView topLeftCell="A29" workbookViewId="0">
      <selection activeCell="K12" sqref="K12"/>
    </sheetView>
  </sheetViews>
  <sheetFormatPr defaultColWidth="10.875" defaultRowHeight="15.75"/>
  <cols>
    <col min="1" max="1" width="10.875" style="97"/>
    <col min="2" max="2" width="13.5" style="97" customWidth="1"/>
    <col min="3" max="16384" width="10.875" style="97"/>
  </cols>
  <sheetData>
    <row r="2" spans="2:2" ht="16.5">
      <c r="B2" s="562" t="s">
        <v>73</v>
      </c>
    </row>
    <row r="4" spans="2:2">
      <c r="B4" s="563" t="s">
        <v>74</v>
      </c>
    </row>
    <row r="6" spans="2:2">
      <c r="B6" s="564" t="s">
        <v>75</v>
      </c>
    </row>
    <row r="7" spans="2:2">
      <c r="B7" s="564" t="s">
        <v>76</v>
      </c>
    </row>
    <row r="8" spans="2:2">
      <c r="B8" s="564"/>
    </row>
    <row r="9" spans="2:2">
      <c r="B9" s="564" t="s">
        <v>77</v>
      </c>
    </row>
    <row r="10" spans="2:2">
      <c r="B10" s="564"/>
    </row>
    <row r="11" spans="2:2">
      <c r="B11" s="564" t="s">
        <v>78</v>
      </c>
    </row>
    <row r="12" spans="2:2">
      <c r="B12" s="564"/>
    </row>
    <row r="13" spans="2:2">
      <c r="B13" s="564" t="s">
        <v>79</v>
      </c>
    </row>
    <row r="14" spans="2:2">
      <c r="B14" s="564"/>
    </row>
    <row r="15" spans="2:2">
      <c r="B15" s="564" t="s">
        <v>80</v>
      </c>
    </row>
    <row r="16" spans="2:2">
      <c r="B16" s="564"/>
    </row>
    <row r="17" spans="2:2">
      <c r="B17" s="563" t="s">
        <v>81</v>
      </c>
    </row>
    <row r="18" spans="2:2">
      <c r="B18" s="563"/>
    </row>
    <row r="19" spans="2:2">
      <c r="B19" s="730" t="s">
        <v>82</v>
      </c>
    </row>
    <row r="20" spans="2:2">
      <c r="B20" s="730"/>
    </row>
    <row r="21" spans="2:2">
      <c r="B21" s="730" t="s">
        <v>83</v>
      </c>
    </row>
    <row r="22" spans="2:2">
      <c r="B22" s="730"/>
    </row>
    <row r="23" spans="2:2">
      <c r="B23" s="730" t="s">
        <v>84</v>
      </c>
    </row>
    <row r="24" spans="2:2">
      <c r="B24" s="730"/>
    </row>
    <row r="25" spans="2:2">
      <c r="B25" s="730" t="s">
        <v>85</v>
      </c>
    </row>
    <row r="26" spans="2:2">
      <c r="B26" s="730"/>
    </row>
    <row r="27" spans="2:2">
      <c r="B27" s="730" t="s">
        <v>86</v>
      </c>
    </row>
    <row r="28" spans="2:2">
      <c r="B28" s="730"/>
    </row>
    <row r="29" spans="2:2">
      <c r="B29" s="730"/>
    </row>
    <row r="30" spans="2:2">
      <c r="B30" s="563" t="s">
        <v>87</v>
      </c>
    </row>
    <row r="31" spans="2:2">
      <c r="B31" s="563"/>
    </row>
    <row r="32" spans="2:2">
      <c r="B32" s="730" t="s">
        <v>88</v>
      </c>
    </row>
    <row r="33" spans="2:3">
      <c r="B33" s="564" t="s">
        <v>89</v>
      </c>
    </row>
    <row r="34" spans="2:3">
      <c r="B34" s="564"/>
    </row>
    <row r="35" spans="2:3">
      <c r="B35" s="563" t="s">
        <v>90</v>
      </c>
    </row>
    <row r="36" spans="2:3">
      <c r="B36" s="730" t="s">
        <v>91</v>
      </c>
    </row>
    <row r="38" spans="2:3" ht="16.5">
      <c r="B38" s="106" t="s">
        <v>92</v>
      </c>
    </row>
    <row r="40" spans="2:3">
      <c r="B40" s="102" t="s">
        <v>74</v>
      </c>
    </row>
    <row r="42" spans="2:3">
      <c r="B42" s="96" t="s">
        <v>93</v>
      </c>
    </row>
    <row r="43" spans="2:3">
      <c r="B43" s="96"/>
      <c r="C43" s="96" t="s">
        <v>94</v>
      </c>
    </row>
    <row r="44" spans="2:3">
      <c r="B44" s="96"/>
      <c r="C44" s="96" t="s">
        <v>95</v>
      </c>
    </row>
    <row r="45" spans="2:3">
      <c r="B45" s="96"/>
      <c r="C45" s="512"/>
    </row>
    <row r="46" spans="2:3">
      <c r="B46" s="96" t="s">
        <v>96</v>
      </c>
      <c r="C46" s="512"/>
    </row>
    <row r="47" spans="2:3">
      <c r="B47" s="96"/>
      <c r="C47" s="512"/>
    </row>
    <row r="48" spans="2:3">
      <c r="B48" s="96" t="s">
        <v>97</v>
      </c>
      <c r="C48" s="512"/>
    </row>
    <row r="50" spans="2:2">
      <c r="B50" s="96" t="s">
        <v>98</v>
      </c>
    </row>
    <row r="51" spans="2:2">
      <c r="B51" s="96"/>
    </row>
    <row r="52" spans="2:2">
      <c r="B52" s="96" t="s">
        <v>99</v>
      </c>
    </row>
    <row r="53" spans="2:2">
      <c r="B53" s="96" t="s">
        <v>100</v>
      </c>
    </row>
    <row r="54" spans="2:2">
      <c r="B54" s="96"/>
    </row>
    <row r="55" spans="2:2">
      <c r="B55" s="96" t="s">
        <v>101</v>
      </c>
    </row>
    <row r="56" spans="2:2">
      <c r="B56" s="96"/>
    </row>
    <row r="57" spans="2:2">
      <c r="B57" s="96" t="s">
        <v>102</v>
      </c>
    </row>
    <row r="58" spans="2:2">
      <c r="B58" s="96"/>
    </row>
    <row r="59" spans="2:2">
      <c r="B59" s="96" t="s">
        <v>103</v>
      </c>
    </row>
    <row r="60" spans="2:2">
      <c r="B60" s="160"/>
    </row>
    <row r="61" spans="2:2">
      <c r="B61" s="102" t="s">
        <v>87</v>
      </c>
    </row>
    <row r="62" spans="2:2" ht="17.45" customHeight="1">
      <c r="B62" s="96" t="s">
        <v>104</v>
      </c>
    </row>
    <row r="64" spans="2:2">
      <c r="B64" s="102" t="s">
        <v>90</v>
      </c>
    </row>
    <row r="65" spans="1:16" ht="8.4499999999999993" customHeight="1"/>
    <row r="66" spans="1:16">
      <c r="B66" s="169" t="s">
        <v>105</v>
      </c>
    </row>
    <row r="67" spans="1:16">
      <c r="B67" s="169" t="s">
        <v>106</v>
      </c>
    </row>
    <row r="68" spans="1:16">
      <c r="B68" s="169" t="s">
        <v>107</v>
      </c>
    </row>
    <row r="69" spans="1:16">
      <c r="B69" s="169" t="s">
        <v>108</v>
      </c>
    </row>
    <row r="72" spans="1:16" ht="16.5">
      <c r="A72" s="96"/>
      <c r="B72" s="106" t="s">
        <v>109</v>
      </c>
      <c r="C72" s="96"/>
      <c r="D72" s="96"/>
      <c r="E72" s="96"/>
      <c r="F72" s="96"/>
      <c r="G72" s="96"/>
      <c r="H72" s="96"/>
      <c r="I72" s="96"/>
      <c r="J72" s="96"/>
      <c r="K72" s="96"/>
      <c r="L72" s="96"/>
      <c r="M72" s="96"/>
      <c r="N72" s="96"/>
      <c r="O72" s="96"/>
      <c r="P72" s="96"/>
    </row>
    <row r="73" spans="1:16">
      <c r="A73" s="96"/>
      <c r="B73" s="96"/>
      <c r="C73" s="96"/>
      <c r="D73" s="96"/>
      <c r="E73" s="96"/>
      <c r="F73" s="96"/>
      <c r="G73" s="96"/>
      <c r="H73" s="96"/>
      <c r="I73" s="96"/>
      <c r="J73" s="96"/>
      <c r="K73" s="96"/>
      <c r="L73" s="96"/>
      <c r="M73" s="96"/>
      <c r="N73" s="96"/>
      <c r="O73" s="96"/>
      <c r="P73" s="96"/>
    </row>
    <row r="74" spans="1:16">
      <c r="A74" s="96"/>
      <c r="B74" s="102" t="s">
        <v>74</v>
      </c>
      <c r="C74" s="96"/>
      <c r="D74" s="96"/>
      <c r="E74" s="96"/>
      <c r="F74" s="96"/>
      <c r="G74" s="96"/>
      <c r="H74" s="96"/>
      <c r="I74" s="96"/>
      <c r="J74" s="96"/>
      <c r="K74" s="96"/>
      <c r="L74" s="96"/>
      <c r="M74" s="96"/>
      <c r="N74" s="96"/>
      <c r="O74" s="96"/>
      <c r="P74" s="96"/>
    </row>
    <row r="75" spans="1:16">
      <c r="A75" s="96"/>
      <c r="B75" s="102"/>
      <c r="C75" s="96"/>
      <c r="D75" s="96"/>
      <c r="E75" s="96"/>
      <c r="F75" s="96"/>
      <c r="G75" s="96"/>
      <c r="H75" s="96"/>
      <c r="I75" s="96"/>
      <c r="J75" s="96"/>
      <c r="K75" s="96"/>
      <c r="L75" s="96"/>
      <c r="M75" s="96"/>
      <c r="N75" s="96"/>
      <c r="O75" s="96"/>
      <c r="P75" s="96"/>
    </row>
    <row r="76" spans="1:16">
      <c r="A76" s="96"/>
      <c r="B76" s="96" t="s">
        <v>110</v>
      </c>
      <c r="C76" s="96"/>
      <c r="D76" s="96"/>
      <c r="E76" s="96"/>
      <c r="F76" s="96"/>
      <c r="G76" s="96"/>
      <c r="H76" s="96"/>
      <c r="I76" s="96"/>
      <c r="J76" s="96"/>
      <c r="K76" s="96"/>
      <c r="L76" s="96"/>
      <c r="M76" s="96"/>
      <c r="N76" s="96"/>
      <c r="O76" s="96"/>
      <c r="P76" s="96"/>
    </row>
    <row r="77" spans="1:16">
      <c r="A77" s="96"/>
      <c r="B77" s="96"/>
      <c r="C77" s="96" t="s">
        <v>111</v>
      </c>
      <c r="D77" s="96"/>
      <c r="E77" s="96"/>
      <c r="F77" s="96"/>
      <c r="G77" s="96"/>
      <c r="H77" s="96"/>
      <c r="I77" s="96"/>
      <c r="J77" s="96"/>
      <c r="K77" s="96"/>
      <c r="L77" s="96"/>
      <c r="M77" s="96"/>
      <c r="N77" s="96"/>
      <c r="O77" s="96"/>
      <c r="P77" s="96"/>
    </row>
    <row r="78" spans="1:16">
      <c r="A78" s="96"/>
      <c r="B78" s="96"/>
      <c r="C78" s="96" t="s">
        <v>112</v>
      </c>
      <c r="D78" s="96"/>
      <c r="E78" s="96"/>
      <c r="F78" s="96"/>
      <c r="G78" s="96"/>
      <c r="H78" s="96"/>
      <c r="I78" s="96"/>
      <c r="J78" s="96"/>
      <c r="K78" s="96"/>
      <c r="L78" s="96"/>
      <c r="M78" s="96"/>
      <c r="N78" s="96"/>
      <c r="O78" s="96"/>
      <c r="P78" s="96"/>
    </row>
    <row r="79" spans="1:16">
      <c r="A79" s="96"/>
      <c r="B79" s="96"/>
      <c r="C79" s="96" t="s">
        <v>113</v>
      </c>
      <c r="D79" s="96"/>
      <c r="E79" s="96"/>
      <c r="F79" s="96"/>
      <c r="G79" s="96"/>
      <c r="H79" s="96"/>
      <c r="I79" s="96"/>
      <c r="J79" s="96"/>
      <c r="K79" s="96"/>
      <c r="L79" s="96"/>
      <c r="M79" s="96"/>
      <c r="N79" s="96"/>
      <c r="O79" s="96"/>
      <c r="P79" s="96"/>
    </row>
    <row r="80" spans="1:16">
      <c r="A80" s="96"/>
      <c r="B80" s="96"/>
      <c r="C80" s="96" t="s">
        <v>114</v>
      </c>
      <c r="D80" s="96"/>
      <c r="E80" s="96"/>
      <c r="F80" s="96"/>
      <c r="G80" s="96"/>
      <c r="H80" s="96"/>
      <c r="I80" s="96"/>
      <c r="J80" s="96"/>
      <c r="K80" s="96"/>
      <c r="L80" s="96"/>
      <c r="M80" s="96"/>
      <c r="N80" s="96"/>
      <c r="O80" s="96"/>
      <c r="P80" s="96"/>
    </row>
    <row r="81" spans="1:16">
      <c r="A81" s="96"/>
      <c r="B81" s="96"/>
      <c r="C81" s="96"/>
      <c r="D81" s="96"/>
      <c r="E81" s="96"/>
      <c r="F81" s="96"/>
      <c r="G81" s="96"/>
      <c r="H81" s="96"/>
      <c r="I81" s="96"/>
      <c r="J81" s="96"/>
      <c r="K81" s="96"/>
      <c r="L81" s="96"/>
      <c r="M81" s="96"/>
      <c r="N81" s="96"/>
      <c r="O81" s="96"/>
      <c r="P81" s="96"/>
    </row>
    <row r="82" spans="1:16">
      <c r="A82" s="96"/>
      <c r="B82" s="96" t="s">
        <v>115</v>
      </c>
      <c r="C82" s="96"/>
      <c r="D82" s="96"/>
      <c r="E82" s="96"/>
      <c r="F82" s="96"/>
      <c r="G82" s="96"/>
      <c r="H82" s="96"/>
      <c r="I82" s="96"/>
      <c r="J82" s="96"/>
      <c r="K82" s="96"/>
      <c r="L82" s="96"/>
      <c r="M82" s="96"/>
      <c r="N82" s="96"/>
      <c r="O82" s="96"/>
      <c r="P82" s="96"/>
    </row>
    <row r="83" spans="1:16">
      <c r="A83" s="96"/>
      <c r="B83" s="96"/>
      <c r="C83" s="96" t="s">
        <v>116</v>
      </c>
      <c r="D83" s="96"/>
      <c r="E83" s="96"/>
      <c r="F83" s="96"/>
      <c r="G83" s="96"/>
      <c r="H83" s="96"/>
      <c r="I83" s="96"/>
      <c r="J83" s="96"/>
      <c r="K83" s="96"/>
      <c r="L83" s="96"/>
      <c r="M83" s="96"/>
      <c r="N83" s="96"/>
      <c r="O83" s="96"/>
      <c r="P83" s="96"/>
    </row>
    <row r="84" spans="1:16">
      <c r="A84" s="96"/>
      <c r="B84" s="96"/>
      <c r="C84" s="96" t="s">
        <v>117</v>
      </c>
      <c r="D84" s="96"/>
      <c r="E84" s="96"/>
      <c r="F84" s="96"/>
      <c r="G84" s="96"/>
      <c r="H84" s="96"/>
      <c r="I84" s="96"/>
      <c r="J84" s="96"/>
      <c r="K84" s="96"/>
      <c r="L84" s="96"/>
      <c r="M84" s="96"/>
      <c r="N84" s="96"/>
      <c r="O84" s="96"/>
      <c r="P84" s="96"/>
    </row>
    <row r="85" spans="1:16">
      <c r="A85" s="96"/>
      <c r="B85" s="96"/>
      <c r="C85" s="96"/>
      <c r="D85" s="96"/>
      <c r="E85" s="96"/>
      <c r="F85" s="96"/>
      <c r="G85" s="96"/>
      <c r="H85" s="96"/>
      <c r="I85" s="96"/>
      <c r="J85" s="96"/>
      <c r="K85" s="96"/>
      <c r="L85" s="96"/>
      <c r="M85" s="96"/>
      <c r="N85" s="96"/>
      <c r="O85" s="96"/>
      <c r="P85" s="96"/>
    </row>
    <row r="86" spans="1:16">
      <c r="A86" s="96"/>
      <c r="B86" s="96" t="s">
        <v>118</v>
      </c>
      <c r="C86" s="96"/>
      <c r="D86" s="96"/>
      <c r="E86" s="96"/>
      <c r="F86" s="96"/>
      <c r="G86" s="96"/>
      <c r="H86" s="96"/>
      <c r="I86" s="96"/>
      <c r="J86" s="96"/>
      <c r="K86" s="96"/>
      <c r="L86" s="96"/>
      <c r="M86" s="96"/>
      <c r="N86" s="96"/>
      <c r="O86" s="96"/>
      <c r="P86" s="96"/>
    </row>
    <row r="87" spans="1:16">
      <c r="A87" s="96"/>
      <c r="B87" s="96"/>
      <c r="C87" s="96" t="s">
        <v>119</v>
      </c>
      <c r="D87" s="96"/>
      <c r="E87" s="96"/>
      <c r="F87" s="96"/>
      <c r="G87" s="96"/>
      <c r="H87" s="96"/>
      <c r="I87" s="96"/>
      <c r="J87" s="96"/>
      <c r="K87" s="96"/>
      <c r="L87" s="96"/>
      <c r="M87" s="96"/>
      <c r="N87" s="96"/>
      <c r="O87" s="96"/>
      <c r="P87" s="96"/>
    </row>
    <row r="88" spans="1:16">
      <c r="A88" s="96"/>
      <c r="B88" s="96"/>
      <c r="C88" s="96" t="s">
        <v>120</v>
      </c>
      <c r="D88" s="96"/>
      <c r="E88" s="96"/>
      <c r="F88" s="96"/>
      <c r="G88" s="96"/>
      <c r="H88" s="96"/>
      <c r="I88" s="96"/>
      <c r="J88" s="96"/>
      <c r="K88" s="96"/>
      <c r="L88" s="96"/>
      <c r="M88" s="96"/>
      <c r="N88" s="96"/>
      <c r="O88" s="96"/>
      <c r="P88" s="96"/>
    </row>
    <row r="89" spans="1:16">
      <c r="A89" s="96"/>
      <c r="B89" s="96"/>
      <c r="C89" s="96" t="s">
        <v>121</v>
      </c>
      <c r="D89" s="96"/>
      <c r="E89" s="96"/>
      <c r="F89" s="96"/>
      <c r="G89" s="96"/>
      <c r="H89" s="96"/>
      <c r="I89" s="96"/>
      <c r="J89" s="96"/>
      <c r="K89" s="96"/>
      <c r="L89" s="96"/>
      <c r="M89" s="96"/>
      <c r="N89" s="96"/>
      <c r="O89" s="96"/>
      <c r="P89" s="96"/>
    </row>
    <row r="90" spans="1:16">
      <c r="A90" s="96"/>
      <c r="B90" s="96"/>
      <c r="C90" s="96"/>
      <c r="D90" s="96"/>
      <c r="E90" s="96"/>
      <c r="F90" s="96"/>
      <c r="G90" s="96"/>
      <c r="H90" s="96"/>
      <c r="I90" s="96"/>
      <c r="J90" s="96"/>
      <c r="K90" s="96"/>
      <c r="L90" s="96"/>
      <c r="M90" s="96"/>
      <c r="N90" s="96"/>
      <c r="O90" s="96"/>
      <c r="P90" s="96"/>
    </row>
    <row r="91" spans="1:16">
      <c r="A91" s="96"/>
      <c r="B91" s="96" t="s">
        <v>122</v>
      </c>
      <c r="C91" s="96"/>
      <c r="D91" s="96"/>
      <c r="E91" s="96"/>
      <c r="F91" s="96"/>
      <c r="G91" s="96"/>
      <c r="H91" s="96"/>
      <c r="I91" s="96"/>
      <c r="J91" s="96"/>
      <c r="K91" s="96"/>
      <c r="L91" s="96"/>
      <c r="M91" s="96"/>
      <c r="N91" s="96"/>
      <c r="O91" s="96"/>
      <c r="P91" s="96"/>
    </row>
    <row r="92" spans="1:16">
      <c r="A92" s="96"/>
      <c r="B92" s="96"/>
      <c r="C92" s="96"/>
      <c r="D92" s="96"/>
      <c r="E92" s="96"/>
      <c r="F92" s="96"/>
      <c r="G92" s="96"/>
      <c r="H92" s="96"/>
      <c r="I92" s="96"/>
      <c r="J92" s="96"/>
      <c r="K92" s="96"/>
      <c r="L92" s="96"/>
      <c r="M92" s="96"/>
      <c r="N92" s="96"/>
      <c r="O92" s="96"/>
      <c r="P92" s="96"/>
    </row>
    <row r="93" spans="1:16">
      <c r="A93" s="96"/>
      <c r="B93" s="96" t="s">
        <v>123</v>
      </c>
      <c r="C93" s="96"/>
      <c r="D93" s="96"/>
      <c r="E93" s="96"/>
      <c r="F93" s="96"/>
      <c r="G93" s="96"/>
      <c r="H93" s="96"/>
      <c r="I93" s="96"/>
      <c r="J93" s="96"/>
      <c r="K93" s="96"/>
      <c r="L93" s="96"/>
      <c r="M93" s="96"/>
      <c r="N93" s="96"/>
      <c r="O93" s="96"/>
      <c r="P93" s="96"/>
    </row>
    <row r="94" spans="1:16">
      <c r="A94" s="96"/>
      <c r="B94" s="96"/>
      <c r="C94" s="96"/>
      <c r="D94" s="96"/>
      <c r="E94" s="96"/>
      <c r="F94" s="96"/>
      <c r="G94" s="96"/>
      <c r="H94" s="96"/>
      <c r="I94" s="96"/>
      <c r="J94" s="96"/>
      <c r="K94" s="96"/>
      <c r="L94" s="96"/>
      <c r="M94" s="96"/>
      <c r="N94" s="96"/>
      <c r="O94" s="96"/>
      <c r="P94" s="96"/>
    </row>
    <row r="95" spans="1:16">
      <c r="A95" s="96"/>
      <c r="B95" s="96" t="s">
        <v>124</v>
      </c>
      <c r="C95" s="96"/>
      <c r="D95" s="96"/>
      <c r="E95" s="96"/>
      <c r="F95" s="96"/>
      <c r="G95" s="96"/>
      <c r="H95" s="96"/>
      <c r="I95" s="96"/>
      <c r="J95" s="96"/>
      <c r="K95" s="96"/>
      <c r="L95" s="96"/>
      <c r="M95" s="96"/>
      <c r="N95" s="96"/>
      <c r="O95" s="96"/>
      <c r="P95" s="96"/>
    </row>
    <row r="96" spans="1:16">
      <c r="A96" s="96"/>
      <c r="B96" s="96"/>
      <c r="C96" s="96"/>
      <c r="D96" s="96"/>
      <c r="E96" s="96"/>
      <c r="F96" s="96"/>
      <c r="G96" s="96"/>
      <c r="H96" s="96"/>
      <c r="I96" s="96"/>
      <c r="J96" s="96"/>
      <c r="K96" s="96"/>
      <c r="L96" s="96"/>
      <c r="M96" s="96"/>
      <c r="N96" s="96"/>
      <c r="O96" s="96"/>
      <c r="P96" s="96"/>
    </row>
    <row r="97" spans="1:16">
      <c r="A97" s="96"/>
      <c r="B97" s="96" t="s">
        <v>125</v>
      </c>
      <c r="C97" s="96"/>
      <c r="D97" s="96"/>
      <c r="E97" s="96"/>
      <c r="F97" s="96"/>
      <c r="G97" s="96"/>
      <c r="H97" s="96"/>
      <c r="I97" s="96"/>
      <c r="J97" s="96"/>
      <c r="K97" s="96"/>
      <c r="L97" s="96"/>
      <c r="M97" s="96"/>
      <c r="N97" s="96"/>
      <c r="O97" s="96"/>
      <c r="P97" s="96"/>
    </row>
    <row r="98" spans="1:16">
      <c r="A98" s="96"/>
      <c r="B98" s="96"/>
      <c r="C98" s="96"/>
      <c r="D98" s="96"/>
      <c r="E98" s="96"/>
      <c r="F98" s="96"/>
      <c r="G98" s="96"/>
      <c r="H98" s="96"/>
      <c r="I98" s="96"/>
      <c r="J98" s="96"/>
      <c r="K98" s="96"/>
      <c r="L98" s="96"/>
      <c r="M98" s="96"/>
      <c r="N98" s="96"/>
      <c r="O98" s="96"/>
      <c r="P98" s="96"/>
    </row>
    <row r="99" spans="1:16">
      <c r="A99" s="96"/>
      <c r="B99" s="102" t="s">
        <v>87</v>
      </c>
      <c r="C99" s="96"/>
      <c r="D99" s="96"/>
      <c r="E99" s="96"/>
      <c r="F99" s="96"/>
      <c r="G99" s="96"/>
      <c r="H99" s="96"/>
      <c r="I99" s="96"/>
      <c r="J99" s="96"/>
      <c r="K99" s="96"/>
      <c r="L99" s="96"/>
      <c r="M99" s="96"/>
      <c r="N99" s="96"/>
      <c r="O99" s="96"/>
      <c r="P99" s="96"/>
    </row>
    <row r="100" spans="1:16">
      <c r="A100" s="96"/>
      <c r="B100" s="96"/>
      <c r="C100" s="96"/>
      <c r="D100" s="96"/>
      <c r="E100" s="96"/>
      <c r="F100" s="96"/>
      <c r="G100" s="96"/>
      <c r="H100" s="96"/>
      <c r="I100" s="96"/>
      <c r="J100" s="96"/>
      <c r="K100" s="96"/>
      <c r="L100" s="96"/>
      <c r="M100" s="96"/>
      <c r="N100" s="96"/>
      <c r="O100" s="96"/>
      <c r="P100" s="96"/>
    </row>
    <row r="101" spans="1:16">
      <c r="A101" s="96"/>
      <c r="B101" s="96" t="s">
        <v>126</v>
      </c>
      <c r="C101" s="96"/>
      <c r="D101" s="96"/>
      <c r="E101" s="96"/>
      <c r="F101" s="96"/>
      <c r="G101" s="96"/>
      <c r="H101" s="96"/>
      <c r="I101" s="96"/>
      <c r="J101" s="96"/>
      <c r="K101" s="96"/>
      <c r="L101" s="96"/>
      <c r="M101" s="96"/>
      <c r="N101" s="96"/>
      <c r="O101" s="96"/>
      <c r="P101" s="96"/>
    </row>
    <row r="102" spans="1:16">
      <c r="A102" s="96"/>
      <c r="B102" s="96" t="s">
        <v>127</v>
      </c>
      <c r="C102" s="96"/>
      <c r="D102" s="96"/>
      <c r="E102" s="96"/>
      <c r="F102" s="96"/>
      <c r="G102" s="96"/>
      <c r="H102" s="96"/>
      <c r="I102" s="96"/>
      <c r="J102" s="96"/>
      <c r="K102" s="96"/>
      <c r="L102" s="96"/>
      <c r="M102" s="96"/>
      <c r="N102" s="96"/>
      <c r="O102" s="96"/>
      <c r="P102" s="96"/>
    </row>
    <row r="103" spans="1:16">
      <c r="A103" s="96"/>
      <c r="B103" s="96"/>
      <c r="C103" s="96"/>
      <c r="D103" s="96"/>
      <c r="E103" s="96"/>
      <c r="F103" s="96"/>
      <c r="G103" s="96"/>
      <c r="H103" s="96"/>
      <c r="I103" s="96"/>
      <c r="J103" s="96"/>
      <c r="K103" s="96"/>
      <c r="L103" s="96"/>
      <c r="M103" s="96"/>
      <c r="N103" s="96"/>
      <c r="O103" s="96"/>
      <c r="P103" s="96"/>
    </row>
    <row r="104" spans="1:16">
      <c r="A104" s="96"/>
      <c r="B104" s="102" t="s">
        <v>90</v>
      </c>
      <c r="C104" s="96"/>
      <c r="D104" s="96"/>
      <c r="E104" s="96"/>
      <c r="F104" s="96"/>
      <c r="G104" s="96"/>
      <c r="H104" s="96"/>
      <c r="I104" s="96"/>
      <c r="J104" s="96"/>
      <c r="K104" s="96"/>
      <c r="L104" s="96"/>
      <c r="M104" s="96"/>
      <c r="N104" s="96"/>
      <c r="O104" s="96"/>
      <c r="P104" s="96"/>
    </row>
    <row r="105" spans="1:16">
      <c r="A105" s="96"/>
      <c r="B105" s="102"/>
      <c r="C105" s="96"/>
      <c r="D105" s="96"/>
      <c r="E105" s="96"/>
      <c r="F105" s="96"/>
      <c r="G105" s="96"/>
      <c r="H105" s="96"/>
      <c r="I105" s="96"/>
      <c r="J105" s="96"/>
      <c r="K105" s="96"/>
      <c r="L105" s="96"/>
      <c r="M105" s="96"/>
      <c r="N105" s="96"/>
      <c r="O105" s="96"/>
      <c r="P105" s="96"/>
    </row>
    <row r="106" spans="1:16">
      <c r="A106" s="96"/>
      <c r="B106" s="96" t="s">
        <v>128</v>
      </c>
      <c r="C106" s="96"/>
      <c r="D106" s="96"/>
      <c r="E106" s="96"/>
      <c r="F106" s="96"/>
      <c r="G106" s="96"/>
      <c r="H106" s="96"/>
      <c r="I106" s="96"/>
      <c r="J106" s="96"/>
      <c r="K106" s="96"/>
      <c r="L106" s="96"/>
      <c r="M106" s="96"/>
      <c r="N106" s="96"/>
      <c r="O106" s="96"/>
      <c r="P106" s="96"/>
    </row>
    <row r="107" spans="1:16">
      <c r="A107" s="96"/>
      <c r="B107" s="96"/>
      <c r="C107" s="96"/>
      <c r="D107" s="96"/>
      <c r="E107" s="96"/>
      <c r="F107" s="96"/>
      <c r="G107" s="96"/>
      <c r="H107" s="96"/>
      <c r="I107" s="96"/>
      <c r="J107" s="96"/>
      <c r="K107" s="96"/>
      <c r="L107" s="96"/>
      <c r="M107" s="96"/>
      <c r="N107" s="96"/>
      <c r="O107" s="96"/>
      <c r="P107" s="96"/>
    </row>
    <row r="108" spans="1:16">
      <c r="A108" s="96"/>
      <c r="B108" s="96" t="s">
        <v>129</v>
      </c>
      <c r="C108" s="96"/>
      <c r="D108" s="96"/>
      <c r="E108" s="96"/>
      <c r="F108" s="96"/>
      <c r="G108" s="96"/>
      <c r="H108" s="96"/>
      <c r="I108" s="96"/>
      <c r="J108" s="96"/>
      <c r="K108" s="96"/>
      <c r="L108" s="96"/>
      <c r="M108" s="96"/>
      <c r="N108" s="96"/>
      <c r="O108" s="96"/>
      <c r="P108" s="96"/>
    </row>
    <row r="109" spans="1:16">
      <c r="A109" s="96"/>
      <c r="B109" s="96"/>
      <c r="C109" s="96"/>
      <c r="D109" s="96"/>
      <c r="E109" s="96"/>
      <c r="F109" s="96"/>
      <c r="G109" s="96"/>
      <c r="H109" s="96"/>
      <c r="I109" s="96"/>
      <c r="J109" s="96"/>
      <c r="K109" s="96"/>
      <c r="L109" s="96"/>
      <c r="M109" s="96"/>
      <c r="N109" s="96"/>
      <c r="O109" s="96"/>
      <c r="P109" s="96"/>
    </row>
    <row r="110" spans="1:16">
      <c r="A110" s="96"/>
      <c r="B110" s="96" t="s">
        <v>130</v>
      </c>
      <c r="C110" s="96"/>
      <c r="D110" s="96"/>
      <c r="E110" s="96"/>
      <c r="F110" s="96"/>
      <c r="G110" s="96"/>
      <c r="H110" s="96"/>
      <c r="I110" s="96"/>
      <c r="J110" s="96"/>
      <c r="K110" s="96"/>
      <c r="L110" s="96"/>
      <c r="M110" s="96"/>
      <c r="N110" s="96"/>
      <c r="O110" s="96"/>
      <c r="P110" s="96"/>
    </row>
    <row r="111" spans="1:16">
      <c r="A111" s="96"/>
      <c r="B111" s="96" t="s">
        <v>131</v>
      </c>
      <c r="C111" s="96"/>
      <c r="D111" s="96"/>
      <c r="E111" s="96"/>
      <c r="F111" s="96"/>
      <c r="G111" s="96"/>
      <c r="H111" s="96"/>
      <c r="I111" s="96"/>
      <c r="J111" s="96"/>
      <c r="K111" s="96"/>
      <c r="L111" s="96"/>
      <c r="M111" s="96"/>
      <c r="N111" s="96"/>
      <c r="O111" s="96"/>
      <c r="P111" s="96"/>
    </row>
    <row r="112" spans="1:16">
      <c r="A112" s="96"/>
      <c r="B112" s="96"/>
      <c r="C112" s="96"/>
      <c r="D112" s="96"/>
      <c r="E112" s="96"/>
      <c r="F112" s="96"/>
      <c r="G112" s="96"/>
      <c r="H112" s="96"/>
      <c r="I112" s="96"/>
      <c r="J112" s="96"/>
      <c r="K112" s="96"/>
      <c r="L112" s="96"/>
      <c r="M112" s="96"/>
      <c r="N112" s="96"/>
      <c r="O112" s="96"/>
      <c r="P112" s="96"/>
    </row>
    <row r="113" spans="1:16">
      <c r="A113" s="96"/>
      <c r="B113" s="96" t="s">
        <v>132</v>
      </c>
      <c r="C113" s="96"/>
      <c r="D113" s="96"/>
      <c r="E113" s="96"/>
      <c r="F113" s="96"/>
      <c r="G113" s="96"/>
      <c r="H113" s="96"/>
      <c r="I113" s="96"/>
      <c r="J113" s="96"/>
      <c r="K113" s="96"/>
      <c r="L113" s="96"/>
      <c r="M113" s="96"/>
      <c r="N113" s="96"/>
      <c r="O113" s="96"/>
      <c r="P113" s="96"/>
    </row>
    <row r="114" spans="1:16">
      <c r="A114" s="96"/>
      <c r="B114" s="96"/>
      <c r="C114" s="96" t="s">
        <v>133</v>
      </c>
      <c r="D114" s="96"/>
      <c r="E114" s="96"/>
      <c r="F114" s="96"/>
      <c r="G114" s="96"/>
      <c r="H114" s="96"/>
      <c r="I114" s="96"/>
      <c r="J114" s="96"/>
      <c r="K114" s="96"/>
      <c r="L114" s="96"/>
      <c r="M114" s="96"/>
      <c r="N114" s="96"/>
      <c r="O114" s="96"/>
      <c r="P114" s="96"/>
    </row>
    <row r="115" spans="1:16">
      <c r="A115" s="96"/>
      <c r="B115" s="96"/>
      <c r="C115" s="96" t="s">
        <v>134</v>
      </c>
      <c r="D115" s="96"/>
      <c r="E115" s="96"/>
      <c r="F115" s="96"/>
      <c r="G115" s="96"/>
      <c r="H115" s="96"/>
      <c r="I115" s="96"/>
      <c r="J115" s="96"/>
      <c r="K115" s="96"/>
      <c r="L115" s="96"/>
      <c r="M115" s="96"/>
      <c r="N115" s="96"/>
      <c r="O115" s="96"/>
      <c r="P115" s="96"/>
    </row>
    <row r="116" spans="1:16">
      <c r="A116" s="96"/>
      <c r="B116" s="96"/>
      <c r="C116" s="96"/>
      <c r="D116" s="96"/>
      <c r="E116" s="96"/>
      <c r="F116" s="96"/>
      <c r="G116" s="96"/>
      <c r="H116" s="96"/>
      <c r="I116" s="96"/>
      <c r="J116" s="96"/>
      <c r="K116" s="96"/>
      <c r="L116" s="96"/>
      <c r="M116" s="96"/>
      <c r="N116" s="96"/>
      <c r="O116" s="96"/>
      <c r="P116" s="96"/>
    </row>
    <row r="117" spans="1:16" ht="16.5">
      <c r="A117" s="96"/>
      <c r="B117" s="106" t="s">
        <v>135</v>
      </c>
      <c r="C117" s="96"/>
      <c r="D117" s="96"/>
      <c r="E117" s="96"/>
      <c r="F117" s="96"/>
      <c r="G117" s="96"/>
      <c r="H117" s="96"/>
      <c r="I117" s="96"/>
      <c r="J117" s="96"/>
      <c r="K117" s="96"/>
      <c r="L117" s="96"/>
      <c r="M117" s="96"/>
      <c r="N117" s="96"/>
      <c r="O117" s="96"/>
      <c r="P117" s="96"/>
    </row>
    <row r="118" spans="1:16">
      <c r="A118" s="96"/>
      <c r="B118" s="98"/>
      <c r="C118" s="96"/>
      <c r="D118" s="96"/>
      <c r="E118" s="96"/>
      <c r="F118" s="96"/>
      <c r="G118" s="96"/>
      <c r="H118" s="96"/>
      <c r="I118" s="96"/>
      <c r="J118" s="96"/>
      <c r="K118" s="96"/>
      <c r="L118" s="96"/>
      <c r="M118" s="96"/>
      <c r="N118" s="96"/>
      <c r="O118" s="96"/>
      <c r="P118" s="96"/>
    </row>
    <row r="119" spans="1:16">
      <c r="A119" s="96"/>
      <c r="B119" s="99" t="s">
        <v>74</v>
      </c>
      <c r="C119" s="96"/>
      <c r="D119" s="96"/>
      <c r="E119" s="96"/>
      <c r="F119" s="96"/>
      <c r="G119" s="96"/>
      <c r="H119" s="96"/>
      <c r="I119" s="96"/>
      <c r="J119" s="96"/>
      <c r="K119" s="96"/>
      <c r="L119" s="96"/>
      <c r="M119" s="96"/>
      <c r="N119" s="96"/>
      <c r="O119" s="96"/>
      <c r="P119" s="96"/>
    </row>
    <row r="120" spans="1:16">
      <c r="A120" s="96"/>
      <c r="B120" s="100"/>
      <c r="C120" s="96"/>
      <c r="D120" s="96"/>
      <c r="E120" s="96"/>
      <c r="F120" s="96"/>
      <c r="G120" s="96"/>
      <c r="H120" s="96"/>
      <c r="I120" s="96"/>
      <c r="J120" s="96"/>
      <c r="K120" s="96"/>
      <c r="L120" s="96"/>
      <c r="M120" s="96"/>
      <c r="N120" s="96"/>
      <c r="O120" s="96"/>
      <c r="P120" s="96"/>
    </row>
    <row r="121" spans="1:16">
      <c r="A121" s="96"/>
      <c r="B121" s="101" t="s">
        <v>136</v>
      </c>
      <c r="C121" s="96"/>
      <c r="D121" s="96"/>
      <c r="E121" s="96"/>
      <c r="F121" s="96"/>
      <c r="G121" s="96"/>
      <c r="H121" s="96"/>
      <c r="I121" s="96"/>
      <c r="J121" s="96"/>
      <c r="K121" s="96"/>
      <c r="L121" s="96"/>
      <c r="M121" s="96"/>
      <c r="N121" s="96"/>
      <c r="O121" s="96"/>
      <c r="P121" s="96"/>
    </row>
    <row r="122" spans="1:16">
      <c r="A122" s="96"/>
      <c r="B122" s="96"/>
      <c r="C122" s="96" t="s">
        <v>137</v>
      </c>
      <c r="D122" s="96"/>
      <c r="E122" s="96"/>
      <c r="F122" s="96"/>
      <c r="G122" s="96"/>
      <c r="H122" s="96"/>
      <c r="I122" s="96"/>
      <c r="J122" s="96"/>
      <c r="K122" s="96"/>
      <c r="L122" s="96"/>
      <c r="M122" s="96"/>
      <c r="N122" s="96"/>
      <c r="O122" s="96"/>
      <c r="P122" s="96"/>
    </row>
    <row r="123" spans="1:16">
      <c r="A123" s="96"/>
      <c r="B123" s="96"/>
      <c r="C123" s="96" t="s">
        <v>138</v>
      </c>
      <c r="D123" s="96"/>
      <c r="E123" s="96"/>
      <c r="F123" s="96"/>
      <c r="G123" s="96"/>
      <c r="H123" s="96"/>
      <c r="I123" s="96"/>
      <c r="J123" s="96"/>
      <c r="K123" s="96"/>
      <c r="L123" s="96"/>
      <c r="M123" s="96"/>
      <c r="N123" s="96"/>
      <c r="O123" s="96"/>
      <c r="P123" s="96"/>
    </row>
    <row r="124" spans="1:16">
      <c r="A124" s="96"/>
      <c r="B124" s="96"/>
      <c r="C124" s="96" t="s">
        <v>139</v>
      </c>
      <c r="D124" s="96"/>
      <c r="E124" s="96"/>
      <c r="F124" s="96"/>
      <c r="G124" s="96"/>
      <c r="H124" s="96"/>
      <c r="I124" s="96"/>
      <c r="J124" s="96"/>
      <c r="K124" s="96"/>
      <c r="L124" s="96"/>
      <c r="M124" s="96"/>
      <c r="N124" s="96"/>
      <c r="O124" s="96"/>
      <c r="P124" s="96"/>
    </row>
    <row r="125" spans="1:16">
      <c r="A125" s="96"/>
      <c r="B125" s="96"/>
      <c r="C125" s="96"/>
      <c r="D125" s="96"/>
      <c r="E125" s="96"/>
      <c r="F125" s="96"/>
      <c r="G125" s="96"/>
      <c r="H125" s="96"/>
      <c r="I125" s="96"/>
      <c r="J125" s="96"/>
      <c r="K125" s="96"/>
      <c r="L125" s="96"/>
      <c r="M125" s="96"/>
      <c r="N125" s="96"/>
      <c r="O125" s="96"/>
      <c r="P125" s="96"/>
    </row>
    <row r="126" spans="1:16">
      <c r="A126" s="96"/>
      <c r="B126" s="101" t="s">
        <v>140</v>
      </c>
      <c r="C126" s="96"/>
      <c r="D126" s="96"/>
      <c r="E126" s="96"/>
      <c r="F126" s="96"/>
      <c r="G126" s="96"/>
      <c r="H126" s="96"/>
      <c r="I126" s="96"/>
      <c r="J126" s="96"/>
      <c r="K126" s="96"/>
      <c r="L126" s="96"/>
      <c r="M126" s="96"/>
      <c r="N126" s="96"/>
      <c r="O126" s="96"/>
      <c r="P126" s="96"/>
    </row>
    <row r="127" spans="1:16">
      <c r="A127" s="96"/>
      <c r="B127" s="96"/>
      <c r="C127" s="96"/>
      <c r="D127" s="96"/>
      <c r="E127" s="96"/>
      <c r="F127" s="96"/>
      <c r="G127" s="96"/>
      <c r="H127" s="96"/>
      <c r="I127" s="96"/>
      <c r="J127" s="96"/>
      <c r="K127" s="96"/>
      <c r="L127" s="96"/>
      <c r="M127" s="96"/>
      <c r="N127" s="96"/>
      <c r="O127" s="96"/>
      <c r="P127" s="96"/>
    </row>
    <row r="128" spans="1:16">
      <c r="A128" s="96"/>
      <c r="B128" s="96" t="s">
        <v>141</v>
      </c>
      <c r="C128" s="96"/>
      <c r="D128" s="96"/>
      <c r="E128" s="96"/>
      <c r="F128" s="96"/>
      <c r="G128" s="96"/>
      <c r="H128" s="96"/>
      <c r="I128" s="96"/>
      <c r="J128" s="96"/>
      <c r="K128" s="96"/>
      <c r="L128" s="96"/>
      <c r="M128" s="96"/>
      <c r="N128" s="96"/>
      <c r="O128" s="96"/>
      <c r="P128" s="96"/>
    </row>
    <row r="129" spans="1:16">
      <c r="A129" s="96"/>
      <c r="B129" s="101"/>
      <c r="C129" s="96" t="s">
        <v>142</v>
      </c>
      <c r="D129" s="96"/>
      <c r="E129" s="96"/>
      <c r="F129" s="96"/>
      <c r="G129" s="96"/>
      <c r="H129" s="96"/>
      <c r="I129" s="96"/>
      <c r="J129" s="96"/>
      <c r="K129" s="96"/>
      <c r="L129" s="96"/>
      <c r="M129" s="96"/>
      <c r="N129" s="96"/>
      <c r="O129" s="96"/>
      <c r="P129" s="96"/>
    </row>
    <row r="130" spans="1:16">
      <c r="A130" s="96"/>
      <c r="B130" s="96"/>
      <c r="C130" s="96" t="s">
        <v>143</v>
      </c>
      <c r="D130" s="96"/>
      <c r="E130" s="96"/>
      <c r="F130" s="96"/>
      <c r="G130" s="96"/>
      <c r="H130" s="96"/>
      <c r="I130" s="96"/>
      <c r="J130" s="96"/>
      <c r="K130" s="96"/>
      <c r="L130" s="96"/>
      <c r="M130" s="96"/>
      <c r="N130" s="96"/>
      <c r="O130" s="96"/>
      <c r="P130" s="96"/>
    </row>
    <row r="131" spans="1:16">
      <c r="A131" s="96"/>
      <c r="B131" s="96"/>
      <c r="C131" s="96"/>
      <c r="D131" s="96"/>
      <c r="E131" s="96"/>
      <c r="F131" s="96"/>
      <c r="G131" s="96"/>
      <c r="H131" s="96"/>
      <c r="I131" s="96"/>
      <c r="J131" s="96"/>
      <c r="K131" s="96"/>
      <c r="L131" s="96"/>
      <c r="M131" s="96"/>
      <c r="N131" s="96"/>
      <c r="O131" s="96"/>
      <c r="P131" s="96"/>
    </row>
    <row r="132" spans="1:16">
      <c r="A132" s="96"/>
      <c r="B132" s="96" t="s">
        <v>144</v>
      </c>
      <c r="C132" s="96"/>
      <c r="D132" s="96"/>
      <c r="E132" s="96"/>
      <c r="F132" s="96"/>
      <c r="G132" s="96"/>
      <c r="H132" s="96"/>
      <c r="I132" s="96"/>
      <c r="J132" s="96"/>
      <c r="K132" s="96"/>
      <c r="L132" s="96"/>
      <c r="M132" s="96"/>
      <c r="N132" s="96"/>
      <c r="O132" s="96"/>
      <c r="P132" s="96"/>
    </row>
    <row r="133" spans="1:16">
      <c r="A133" s="96"/>
      <c r="B133" s="96"/>
      <c r="C133" s="96" t="s">
        <v>145</v>
      </c>
      <c r="D133" s="96"/>
      <c r="E133" s="96"/>
      <c r="F133" s="96"/>
      <c r="G133" s="96"/>
      <c r="H133" s="96"/>
      <c r="I133" s="96"/>
      <c r="J133" s="96"/>
      <c r="K133" s="96"/>
      <c r="L133" s="96"/>
      <c r="M133" s="96"/>
      <c r="N133" s="96"/>
      <c r="O133" s="96"/>
      <c r="P133" s="96"/>
    </row>
    <row r="134" spans="1:16">
      <c r="A134" s="96"/>
      <c r="B134" s="96"/>
      <c r="C134" s="96" t="s">
        <v>146</v>
      </c>
      <c r="D134" s="96"/>
      <c r="E134" s="96"/>
      <c r="F134" s="96"/>
      <c r="G134" s="96"/>
      <c r="H134" s="96"/>
      <c r="I134" s="96"/>
      <c r="J134" s="96"/>
      <c r="K134" s="96"/>
      <c r="L134" s="96"/>
      <c r="M134" s="96"/>
      <c r="N134" s="96"/>
      <c r="O134" s="96"/>
      <c r="P134" s="96"/>
    </row>
    <row r="135" spans="1:16">
      <c r="A135" s="96"/>
      <c r="B135" s="96"/>
      <c r="C135" s="96"/>
      <c r="D135" s="96"/>
      <c r="E135" s="96"/>
      <c r="F135" s="96"/>
      <c r="G135" s="96"/>
      <c r="H135" s="96"/>
      <c r="I135" s="96"/>
      <c r="J135" s="96"/>
      <c r="K135" s="96"/>
      <c r="L135" s="96"/>
      <c r="M135" s="96"/>
      <c r="N135" s="96"/>
      <c r="O135" s="96"/>
      <c r="P135" s="96"/>
    </row>
    <row r="136" spans="1:16">
      <c r="A136" s="96"/>
      <c r="B136" s="96" t="s">
        <v>147</v>
      </c>
      <c r="C136" s="96"/>
      <c r="D136" s="96"/>
      <c r="E136" s="96"/>
      <c r="F136" s="96"/>
      <c r="G136" s="96"/>
      <c r="H136" s="96"/>
      <c r="I136" s="96"/>
      <c r="J136" s="96"/>
      <c r="K136" s="96"/>
      <c r="L136" s="96"/>
      <c r="M136" s="96"/>
      <c r="N136" s="96"/>
      <c r="O136" s="96"/>
      <c r="P136" s="96"/>
    </row>
    <row r="137" spans="1:16">
      <c r="A137" s="96"/>
      <c r="B137" s="96"/>
      <c r="C137" s="96" t="s">
        <v>148</v>
      </c>
      <c r="D137" s="96"/>
      <c r="E137" s="96"/>
      <c r="F137" s="96"/>
      <c r="G137" s="96"/>
      <c r="H137" s="96"/>
      <c r="I137" s="96"/>
      <c r="J137" s="96"/>
      <c r="K137" s="96"/>
      <c r="L137" s="96"/>
      <c r="M137" s="96"/>
      <c r="N137" s="96"/>
      <c r="O137" s="96"/>
      <c r="P137" s="96"/>
    </row>
    <row r="138" spans="1:16">
      <c r="A138" s="96"/>
      <c r="B138" s="96"/>
      <c r="C138" s="96" t="s">
        <v>149</v>
      </c>
      <c r="D138" s="96"/>
      <c r="E138" s="96"/>
      <c r="F138" s="96"/>
      <c r="G138" s="96"/>
      <c r="H138" s="96"/>
      <c r="I138" s="96"/>
      <c r="J138" s="96"/>
      <c r="K138" s="96"/>
      <c r="L138" s="96"/>
      <c r="M138" s="96"/>
      <c r="N138" s="96"/>
      <c r="O138" s="96"/>
      <c r="P138" s="96"/>
    </row>
    <row r="139" spans="1:16">
      <c r="A139" s="96"/>
      <c r="B139" s="96"/>
      <c r="C139" s="96" t="s">
        <v>150</v>
      </c>
      <c r="D139" s="96"/>
      <c r="E139" s="96"/>
      <c r="F139" s="96"/>
      <c r="G139" s="96"/>
      <c r="H139" s="96"/>
      <c r="I139" s="96"/>
      <c r="J139" s="96"/>
      <c r="K139" s="96"/>
      <c r="L139" s="96"/>
      <c r="M139" s="96"/>
      <c r="N139" s="96"/>
      <c r="O139" s="96"/>
      <c r="P139" s="96"/>
    </row>
    <row r="140" spans="1:16">
      <c r="A140" s="96"/>
      <c r="B140" s="96"/>
      <c r="C140" s="96"/>
      <c r="D140" s="96"/>
      <c r="E140" s="96"/>
      <c r="F140" s="96"/>
      <c r="G140" s="96"/>
      <c r="H140" s="96"/>
      <c r="I140" s="96"/>
      <c r="J140" s="96"/>
      <c r="K140" s="96"/>
      <c r="L140" s="96"/>
      <c r="M140" s="96"/>
      <c r="N140" s="96"/>
      <c r="O140" s="96"/>
      <c r="P140" s="96"/>
    </row>
    <row r="141" spans="1:16">
      <c r="A141" s="96"/>
      <c r="B141" s="96" t="s">
        <v>151</v>
      </c>
      <c r="C141" s="96"/>
      <c r="D141" s="96"/>
      <c r="E141" s="96"/>
      <c r="F141" s="96"/>
      <c r="G141" s="96"/>
      <c r="H141" s="96"/>
      <c r="I141" s="96"/>
      <c r="J141" s="96"/>
      <c r="K141" s="96"/>
      <c r="L141" s="96"/>
      <c r="M141" s="96"/>
      <c r="N141" s="96"/>
      <c r="O141" s="96"/>
      <c r="P141" s="96"/>
    </row>
    <row r="142" spans="1:16">
      <c r="A142" s="96"/>
      <c r="B142" s="96"/>
      <c r="C142" s="96"/>
      <c r="D142" s="96"/>
      <c r="E142" s="96"/>
      <c r="F142" s="96"/>
      <c r="G142" s="96"/>
      <c r="H142" s="96"/>
      <c r="I142" s="96"/>
      <c r="J142" s="96"/>
      <c r="K142" s="96"/>
      <c r="L142" s="96"/>
      <c r="M142" s="96"/>
      <c r="N142" s="96"/>
      <c r="O142" s="96"/>
      <c r="P142" s="96"/>
    </row>
    <row r="143" spans="1:16">
      <c r="A143" s="96"/>
      <c r="B143" s="102" t="s">
        <v>87</v>
      </c>
      <c r="C143" s="96"/>
      <c r="D143" s="96"/>
      <c r="E143" s="96"/>
      <c r="F143" s="96"/>
      <c r="G143" s="96"/>
      <c r="H143" s="96"/>
      <c r="I143" s="96"/>
      <c r="J143" s="96"/>
      <c r="K143" s="96"/>
      <c r="L143" s="96"/>
      <c r="M143" s="96"/>
      <c r="N143" s="96"/>
      <c r="O143" s="96"/>
      <c r="P143" s="96"/>
    </row>
    <row r="144" spans="1:16">
      <c r="A144" s="96"/>
      <c r="B144" s="103"/>
      <c r="C144" s="96"/>
      <c r="D144" s="96"/>
      <c r="E144" s="96"/>
      <c r="F144" s="96"/>
      <c r="G144" s="96"/>
      <c r="H144" s="96"/>
      <c r="I144" s="96"/>
      <c r="J144" s="96"/>
      <c r="K144" s="96"/>
      <c r="L144" s="96"/>
      <c r="M144" s="96"/>
      <c r="N144" s="96"/>
      <c r="O144" s="96"/>
      <c r="P144" s="96"/>
    </row>
    <row r="145" spans="1:16">
      <c r="A145" s="96"/>
      <c r="B145" s="96" t="s">
        <v>152</v>
      </c>
      <c r="C145" s="96"/>
      <c r="D145" s="96"/>
      <c r="E145" s="96"/>
      <c r="F145" s="96"/>
      <c r="G145" s="96"/>
      <c r="H145" s="96"/>
      <c r="I145" s="96"/>
      <c r="J145" s="96"/>
      <c r="K145" s="96"/>
      <c r="L145" s="96"/>
      <c r="M145" s="96"/>
      <c r="N145" s="96"/>
      <c r="O145" s="96"/>
      <c r="P145" s="96"/>
    </row>
    <row r="146" spans="1:16">
      <c r="A146" s="96"/>
      <c r="B146" s="96" t="s">
        <v>153</v>
      </c>
      <c r="C146" s="96"/>
      <c r="D146" s="96"/>
      <c r="E146" s="96"/>
      <c r="F146" s="96"/>
      <c r="G146" s="96"/>
      <c r="H146" s="96"/>
      <c r="I146" s="96"/>
      <c r="J146" s="96"/>
      <c r="K146" s="96"/>
      <c r="L146" s="96"/>
      <c r="M146" s="96"/>
      <c r="N146" s="96"/>
      <c r="O146" s="96"/>
      <c r="P146" s="96"/>
    </row>
    <row r="147" spans="1:16">
      <c r="A147" s="96"/>
      <c r="B147" s="96"/>
      <c r="C147" s="96"/>
      <c r="D147" s="96"/>
      <c r="E147" s="96"/>
      <c r="F147" s="96"/>
      <c r="G147" s="96"/>
      <c r="H147" s="96"/>
      <c r="I147" s="96"/>
      <c r="J147" s="96"/>
      <c r="K147" s="96"/>
      <c r="L147" s="96"/>
      <c r="M147" s="96"/>
      <c r="N147" s="96"/>
      <c r="O147" s="96"/>
      <c r="P147" s="96"/>
    </row>
    <row r="148" spans="1:16">
      <c r="A148" s="96"/>
      <c r="B148" s="96" t="s">
        <v>154</v>
      </c>
      <c r="C148" s="96"/>
      <c r="D148" s="96"/>
      <c r="E148" s="96"/>
      <c r="F148" s="96"/>
      <c r="G148" s="96"/>
      <c r="H148" s="96"/>
      <c r="I148" s="96"/>
      <c r="J148" s="96"/>
      <c r="K148" s="96"/>
      <c r="L148" s="96"/>
      <c r="M148" s="96"/>
      <c r="N148" s="96"/>
      <c r="O148" s="96"/>
      <c r="P148" s="96"/>
    </row>
    <row r="149" spans="1:16">
      <c r="A149" s="96"/>
      <c r="B149" s="96"/>
      <c r="C149" s="96"/>
      <c r="D149" s="96"/>
      <c r="E149" s="96"/>
      <c r="F149" s="96"/>
      <c r="G149" s="96"/>
      <c r="H149" s="96"/>
      <c r="I149" s="96"/>
      <c r="J149" s="96"/>
      <c r="K149" s="96"/>
      <c r="L149" s="96"/>
      <c r="M149" s="96"/>
      <c r="N149" s="96"/>
      <c r="O149" s="96"/>
      <c r="P149" s="96"/>
    </row>
    <row r="150" spans="1:16">
      <c r="A150" s="96"/>
      <c r="B150" s="102" t="s">
        <v>90</v>
      </c>
      <c r="C150" s="96"/>
      <c r="D150" s="96"/>
      <c r="E150" s="96"/>
      <c r="F150" s="96"/>
      <c r="G150" s="96"/>
      <c r="H150" s="96"/>
      <c r="I150" s="96"/>
      <c r="J150" s="96"/>
      <c r="K150" s="96"/>
      <c r="L150" s="96"/>
      <c r="M150" s="96"/>
      <c r="N150" s="96"/>
      <c r="O150" s="96"/>
      <c r="P150" s="96"/>
    </row>
    <row r="151" spans="1:16">
      <c r="A151" s="96"/>
      <c r="B151" s="103"/>
      <c r="C151" s="96"/>
      <c r="D151" s="96"/>
      <c r="E151" s="96"/>
      <c r="F151" s="96"/>
      <c r="G151" s="96"/>
      <c r="H151" s="96"/>
      <c r="I151" s="96"/>
      <c r="J151" s="96"/>
      <c r="K151" s="96"/>
      <c r="L151" s="96"/>
      <c r="M151" s="96"/>
      <c r="N151" s="96"/>
      <c r="O151" s="96"/>
      <c r="P151" s="96"/>
    </row>
    <row r="152" spans="1:16">
      <c r="A152" s="96"/>
      <c r="B152" s="96" t="s">
        <v>155</v>
      </c>
      <c r="C152" s="96"/>
      <c r="D152" s="96"/>
      <c r="E152" s="96"/>
      <c r="F152" s="96"/>
      <c r="G152" s="96"/>
      <c r="H152" s="96"/>
      <c r="I152" s="96"/>
      <c r="J152" s="96"/>
      <c r="K152" s="96"/>
      <c r="L152" s="96"/>
      <c r="M152" s="96"/>
      <c r="N152" s="96"/>
      <c r="O152" s="96"/>
      <c r="P152" s="96"/>
    </row>
    <row r="153" spans="1:16">
      <c r="A153" s="96"/>
      <c r="B153" s="96"/>
      <c r="C153" s="96"/>
      <c r="D153" s="96"/>
      <c r="E153" s="96"/>
      <c r="F153" s="96"/>
      <c r="G153" s="96"/>
      <c r="H153" s="96"/>
      <c r="I153" s="96"/>
      <c r="J153" s="96"/>
      <c r="K153" s="96"/>
      <c r="L153" s="96"/>
      <c r="M153" s="96"/>
      <c r="N153" s="96"/>
      <c r="O153" s="96"/>
      <c r="P153" s="96"/>
    </row>
    <row r="154" spans="1:16">
      <c r="A154" s="96"/>
      <c r="B154" s="96" t="s">
        <v>156</v>
      </c>
      <c r="C154" s="96"/>
      <c r="D154" s="96"/>
      <c r="E154" s="96"/>
      <c r="F154" s="96"/>
      <c r="G154" s="96"/>
      <c r="H154" s="96"/>
      <c r="I154" s="96"/>
      <c r="J154" s="96"/>
      <c r="K154" s="96"/>
      <c r="L154" s="96"/>
      <c r="M154" s="96"/>
      <c r="N154" s="96"/>
      <c r="O154" s="96"/>
      <c r="P154" s="96"/>
    </row>
    <row r="155" spans="1:16">
      <c r="A155" s="96"/>
      <c r="B155" s="103"/>
      <c r="C155" s="96"/>
      <c r="D155" s="96"/>
      <c r="E155" s="96"/>
      <c r="F155" s="96"/>
      <c r="G155" s="96"/>
      <c r="H155" s="96"/>
      <c r="I155" s="96"/>
      <c r="J155" s="96"/>
      <c r="K155" s="96"/>
      <c r="L155" s="96"/>
      <c r="M155" s="96"/>
      <c r="N155" s="96"/>
      <c r="O155" s="96"/>
      <c r="P155" s="96"/>
    </row>
    <row r="156" spans="1:16">
      <c r="A156" s="96"/>
      <c r="B156" s="96" t="s">
        <v>157</v>
      </c>
      <c r="C156" s="96"/>
      <c r="D156" s="96"/>
      <c r="E156" s="96"/>
      <c r="F156" s="96"/>
      <c r="G156" s="96"/>
      <c r="H156" s="96"/>
      <c r="I156" s="96"/>
      <c r="J156" s="96"/>
      <c r="K156" s="96"/>
      <c r="L156" s="96"/>
      <c r="M156" s="96"/>
      <c r="N156" s="96"/>
      <c r="O156" s="96"/>
      <c r="P156" s="96"/>
    </row>
    <row r="157" spans="1:16">
      <c r="A157" s="96"/>
      <c r="B157" s="96"/>
      <c r="C157" s="96"/>
      <c r="D157" s="96"/>
      <c r="E157" s="96"/>
      <c r="F157" s="96"/>
      <c r="G157" s="96"/>
      <c r="H157" s="96"/>
      <c r="I157" s="96"/>
      <c r="J157" s="96"/>
      <c r="K157" s="96"/>
      <c r="L157" s="96"/>
      <c r="M157" s="96"/>
      <c r="N157" s="96"/>
      <c r="O157" s="96"/>
      <c r="P157" s="96"/>
    </row>
    <row r="158" spans="1:16">
      <c r="A158" s="96"/>
      <c r="B158" s="96" t="s">
        <v>158</v>
      </c>
      <c r="C158" s="96"/>
      <c r="D158" s="96"/>
      <c r="E158" s="96"/>
      <c r="F158" s="96"/>
      <c r="G158" s="96"/>
      <c r="H158" s="96"/>
      <c r="I158" s="96"/>
      <c r="J158" s="96"/>
      <c r="K158" s="96"/>
      <c r="L158" s="96"/>
      <c r="M158" s="96"/>
      <c r="N158" s="96"/>
      <c r="O158" s="96"/>
      <c r="P158" s="96"/>
    </row>
    <row r="159" spans="1:16">
      <c r="A159" s="96"/>
      <c r="B159" s="512"/>
      <c r="C159" s="96"/>
      <c r="D159" s="96"/>
      <c r="E159" s="96"/>
      <c r="F159" s="96"/>
      <c r="G159" s="96"/>
      <c r="H159" s="96"/>
      <c r="I159" s="96"/>
      <c r="J159" s="96"/>
      <c r="K159" s="96"/>
      <c r="L159" s="96"/>
      <c r="M159" s="96"/>
      <c r="N159" s="96"/>
      <c r="O159" s="96"/>
      <c r="P159" s="96"/>
    </row>
    <row r="160" spans="1:16">
      <c r="A160" s="96"/>
      <c r="B160" s="96" t="s">
        <v>159</v>
      </c>
      <c r="C160" s="96"/>
      <c r="D160" s="96"/>
      <c r="E160" s="96"/>
      <c r="F160" s="96"/>
      <c r="G160" s="96"/>
      <c r="H160" s="96"/>
      <c r="I160" s="96"/>
      <c r="J160" s="96"/>
      <c r="K160" s="96"/>
      <c r="L160" s="96"/>
      <c r="M160" s="96"/>
      <c r="N160" s="96"/>
      <c r="O160" s="96"/>
      <c r="P160" s="96"/>
    </row>
    <row r="161" spans="1:16">
      <c r="A161" s="96"/>
      <c r="B161" s="96" t="s">
        <v>160</v>
      </c>
      <c r="C161" s="96"/>
      <c r="D161" s="96"/>
      <c r="E161" s="96"/>
      <c r="F161" s="96"/>
      <c r="G161" s="96"/>
      <c r="H161" s="96"/>
      <c r="I161" s="96"/>
      <c r="J161" s="96"/>
      <c r="K161" s="96"/>
      <c r="L161" s="96"/>
      <c r="M161" s="96"/>
      <c r="N161" s="96"/>
      <c r="O161" s="96"/>
      <c r="P161" s="96"/>
    </row>
    <row r="162" spans="1:16">
      <c r="A162" s="96"/>
      <c r="B162" s="104"/>
      <c r="C162" s="96"/>
      <c r="D162" s="96"/>
      <c r="E162" s="96"/>
      <c r="F162" s="96"/>
      <c r="G162" s="96"/>
      <c r="H162" s="96"/>
      <c r="I162" s="96"/>
      <c r="J162" s="96"/>
      <c r="K162" s="96"/>
      <c r="L162" s="96"/>
      <c r="M162" s="96"/>
      <c r="N162" s="96"/>
      <c r="O162" s="96"/>
      <c r="P162" s="96"/>
    </row>
    <row r="163" spans="1:16">
      <c r="A163" s="96"/>
      <c r="B163" s="105"/>
      <c r="C163" s="96"/>
      <c r="D163" s="96"/>
      <c r="E163" s="96"/>
      <c r="F163" s="96"/>
      <c r="G163" s="96"/>
      <c r="H163" s="96"/>
      <c r="I163" s="96"/>
      <c r="J163" s="96"/>
      <c r="K163" s="96"/>
      <c r="L163" s="96"/>
      <c r="M163" s="96"/>
      <c r="N163" s="96"/>
      <c r="O163" s="96"/>
      <c r="P163" s="96"/>
    </row>
    <row r="164" spans="1:16">
      <c r="A164" s="96"/>
      <c r="B164" s="104"/>
      <c r="C164" s="96"/>
      <c r="D164" s="96"/>
      <c r="E164" s="96"/>
      <c r="F164" s="96"/>
      <c r="G164" s="96"/>
      <c r="H164" s="96"/>
      <c r="I164" s="96"/>
      <c r="J164" s="96"/>
      <c r="K164" s="96"/>
      <c r="L164" s="96"/>
      <c r="M164" s="96"/>
      <c r="N164" s="96"/>
      <c r="O164" s="96"/>
      <c r="P164" s="96"/>
    </row>
    <row r="165" spans="1:16">
      <c r="A165" s="96"/>
      <c r="B165" s="104"/>
      <c r="C165" s="96"/>
      <c r="D165" s="96"/>
      <c r="E165" s="96"/>
      <c r="F165" s="96"/>
      <c r="G165" s="96"/>
      <c r="H165" s="96"/>
      <c r="I165" s="96"/>
      <c r="J165" s="96"/>
      <c r="K165" s="96"/>
      <c r="L165" s="96"/>
      <c r="M165" s="96"/>
      <c r="N165" s="96"/>
      <c r="O165" s="96"/>
      <c r="P165" s="96"/>
    </row>
    <row r="166" spans="1:16">
      <c r="A166" s="96"/>
      <c r="B166" s="96"/>
      <c r="C166" s="96"/>
      <c r="D166" s="96"/>
      <c r="E166" s="96"/>
      <c r="F166" s="96"/>
      <c r="G166" s="96"/>
      <c r="H166" s="96"/>
      <c r="I166" s="96"/>
      <c r="J166" s="96"/>
      <c r="K166" s="96"/>
      <c r="L166" s="96"/>
      <c r="M166" s="96"/>
      <c r="N166" s="96"/>
      <c r="O166" s="96"/>
      <c r="P166" s="96"/>
    </row>
    <row r="167" spans="1:16">
      <c r="A167" s="96"/>
      <c r="B167" s="104"/>
      <c r="C167" s="96"/>
      <c r="D167" s="96"/>
      <c r="E167" s="96"/>
      <c r="F167" s="96"/>
      <c r="G167" s="96"/>
      <c r="H167" s="96"/>
      <c r="I167" s="96"/>
      <c r="J167" s="96"/>
      <c r="K167" s="96"/>
      <c r="L167" s="96"/>
      <c r="M167" s="96"/>
      <c r="N167" s="96"/>
      <c r="O167" s="96"/>
      <c r="P167" s="96"/>
    </row>
    <row r="169" spans="1:16">
      <c r="B169" s="104"/>
    </row>
    <row r="170" spans="1:16">
      <c r="B170" s="10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B3:AB80"/>
  <sheetViews>
    <sheetView topLeftCell="D1" zoomScale="70" zoomScaleNormal="70" workbookViewId="0">
      <selection activeCell="H3" sqref="H3"/>
    </sheetView>
  </sheetViews>
  <sheetFormatPr defaultColWidth="11.5" defaultRowHeight="15.75"/>
  <cols>
    <col min="1" max="1" width="5" style="222" customWidth="1"/>
    <col min="2" max="2" width="26.375" style="222" bestFit="1" customWidth="1"/>
    <col min="3" max="3" width="24.125" style="309" customWidth="1"/>
    <col min="4" max="4" width="48.875" style="309" bestFit="1" customWidth="1"/>
    <col min="5" max="5" width="11.5" style="309"/>
    <col min="6" max="16384" width="11.5" style="222"/>
  </cols>
  <sheetData>
    <row r="3" spans="2:17" s="228" customFormat="1" ht="23.45" customHeight="1">
      <c r="C3" s="457"/>
      <c r="D3" s="457"/>
      <c r="E3" s="457"/>
      <c r="H3" s="458" t="s">
        <v>2775</v>
      </c>
      <c r="I3" s="456"/>
      <c r="J3" s="456"/>
      <c r="K3" s="456"/>
      <c r="L3" s="456"/>
      <c r="M3" s="456"/>
      <c r="N3" s="456"/>
      <c r="O3" s="456"/>
      <c r="P3" s="456"/>
      <c r="Q3" s="310"/>
    </row>
    <row r="4" spans="2:17" ht="15.6" customHeight="1">
      <c r="I4" s="456"/>
      <c r="J4" s="456"/>
      <c r="K4" s="456"/>
      <c r="L4" s="456"/>
      <c r="M4" s="456"/>
      <c r="N4" s="456"/>
      <c r="O4" s="456"/>
      <c r="P4" s="456"/>
      <c r="Q4" s="310"/>
    </row>
    <row r="5" spans="2:17">
      <c r="B5" s="228" t="s">
        <v>2723</v>
      </c>
      <c r="G5" s="228"/>
      <c r="I5" s="310"/>
      <c r="J5" s="310"/>
      <c r="K5" s="310"/>
      <c r="L5" s="310"/>
      <c r="M5" s="310"/>
      <c r="N5" s="310"/>
      <c r="O5" s="310"/>
      <c r="P5" s="310"/>
      <c r="Q5" s="310"/>
    </row>
    <row r="7" spans="2:17">
      <c r="B7" s="225" t="s">
        <v>2156</v>
      </c>
      <c r="C7" s="311" t="s">
        <v>2725</v>
      </c>
      <c r="D7" s="311" t="s">
        <v>2776</v>
      </c>
      <c r="E7" s="311" t="s">
        <v>2721</v>
      </c>
    </row>
    <row r="8" spans="2:17">
      <c r="B8" s="281" t="s">
        <v>666</v>
      </c>
      <c r="C8" s="309">
        <f>VLOOKUP(B8,'AGGREGATES by country'!B:J,9,0)</f>
        <v>0.86081273274739001</v>
      </c>
      <c r="D8" s="309">
        <f>VLOOKUP(B8,'Refugee cost calculations'!B:E,4,0)</f>
        <v>0.30256094803670697</v>
      </c>
      <c r="E8" s="309">
        <f t="shared" ref="E8:E47" si="0">C8+D8</f>
        <v>1.1633736807840971</v>
      </c>
    </row>
    <row r="9" spans="2:17">
      <c r="B9" s="281" t="s">
        <v>1119</v>
      </c>
      <c r="C9" s="309">
        <f>VLOOKUP(B9,'AGGREGATES by country'!B:J,9,0)</f>
        <v>0.73674439959035609</v>
      </c>
      <c r="D9" s="309">
        <f>VLOOKUP(B9,'Refugee cost calculations'!B:E,4,0)</f>
        <v>0.21465666211374859</v>
      </c>
      <c r="E9" s="309">
        <f t="shared" si="0"/>
        <v>0.95140106170410466</v>
      </c>
    </row>
    <row r="10" spans="2:17">
      <c r="B10" s="281" t="s">
        <v>1364</v>
      </c>
      <c r="C10" s="309">
        <f>VLOOKUP(B10,'AGGREGATES by country'!B:J,9,0)</f>
        <v>0.50554636366421735</v>
      </c>
      <c r="D10" s="309">
        <f>VLOOKUP(B10,'Refugee cost calculations'!B:E,4,0)</f>
        <v>0.42289320938890262</v>
      </c>
      <c r="E10" s="309">
        <f t="shared" si="0"/>
        <v>0.92843957305311997</v>
      </c>
    </row>
    <row r="11" spans="2:17">
      <c r="B11" s="281" t="s">
        <v>503</v>
      </c>
      <c r="C11" s="309">
        <f>VLOOKUP(B11,'AGGREGATES by country'!B:J,9,0)</f>
        <v>0.15520304766791065</v>
      </c>
      <c r="D11" s="309">
        <f>VLOOKUP(B11,'Refugee cost calculations'!B:E,4,0)</f>
        <v>0.32950528109395594</v>
      </c>
      <c r="E11" s="309">
        <f t="shared" si="0"/>
        <v>0.48470832876186659</v>
      </c>
    </row>
    <row r="12" spans="2:17">
      <c r="B12" s="281" t="s">
        <v>1147</v>
      </c>
      <c r="C12" s="309">
        <f>VLOOKUP(B12,'AGGREGATES by country'!B:J,9,0)</f>
        <v>0.18954865124491221</v>
      </c>
      <c r="D12" s="309">
        <f>VLOOKUP(B12,'Refugee cost calculations'!B:E,4,0)</f>
        <v>0.21654859606953231</v>
      </c>
      <c r="E12" s="309">
        <f t="shared" si="0"/>
        <v>0.40609724731444452</v>
      </c>
    </row>
    <row r="13" spans="2:17">
      <c r="B13" s="281" t="s">
        <v>1507</v>
      </c>
      <c r="C13" s="309">
        <f>VLOOKUP(B13,'AGGREGATES by country'!B:J,9,0)</f>
        <v>0.16933732524909542</v>
      </c>
      <c r="D13" s="309">
        <f>VLOOKUP(B13,'Refugee cost calculations'!B:E,4,0)</f>
        <v>0.16018839895120932</v>
      </c>
      <c r="E13" s="309">
        <f t="shared" si="0"/>
        <v>0.32952572420030474</v>
      </c>
    </row>
    <row r="14" spans="2:17">
      <c r="B14" s="281" t="s">
        <v>329</v>
      </c>
      <c r="C14" s="309">
        <f>VLOOKUP(B14,'AGGREGATES by country'!B:J,9,0)</f>
        <v>6.5039039094326829E-3</v>
      </c>
      <c r="D14" s="309">
        <f>VLOOKUP(B14,'Refugee cost calculations'!B:E,4,0)</f>
        <v>0.24910288962967042</v>
      </c>
      <c r="E14" s="309">
        <f t="shared" si="0"/>
        <v>0.25560679353910309</v>
      </c>
    </row>
    <row r="15" spans="2:17">
      <c r="B15" s="222" t="s">
        <v>1741</v>
      </c>
      <c r="C15" s="309">
        <f>VLOOKUP(B15,'AGGREGATES by country'!B:J,9,0)</f>
        <v>0.23790084532895767</v>
      </c>
      <c r="D15" s="309">
        <f>VLOOKUP(B15,'Refugee cost calculations'!B:E,4,0)</f>
        <v>6.6272530956418699E-3</v>
      </c>
      <c r="E15" s="309">
        <f t="shared" si="0"/>
        <v>0.24452809842459955</v>
      </c>
    </row>
    <row r="16" spans="2:17">
      <c r="B16" s="281" t="s">
        <v>1837</v>
      </c>
      <c r="C16" s="309">
        <f>VLOOKUP(B16,'AGGREGATES by country'!B:J,9,0)</f>
        <v>0.21477063422911147</v>
      </c>
      <c r="D16" s="309">
        <f>VLOOKUP(B16,'Refugee cost calculations'!B:E,4,0)</f>
        <v>0</v>
      </c>
      <c r="E16" s="309">
        <f t="shared" si="0"/>
        <v>0.21477063422911147</v>
      </c>
    </row>
    <row r="17" spans="2:5">
      <c r="B17" s="222" t="s">
        <v>1306</v>
      </c>
      <c r="C17" s="309">
        <f>VLOOKUP(B17,'AGGREGATES by country'!B:J,9,0)</f>
        <v>0.16417385807762389</v>
      </c>
      <c r="D17" s="309">
        <f>VLOOKUP(B17,'Refugee cost calculations'!B:E,4,0)</f>
        <v>1.1334996854033788E-2</v>
      </c>
      <c r="E17" s="309">
        <f t="shared" si="0"/>
        <v>0.17550885493165769</v>
      </c>
    </row>
    <row r="18" spans="2:5">
      <c r="B18" s="281" t="s">
        <v>350</v>
      </c>
      <c r="C18" s="309">
        <f>VLOOKUP(B18,'AGGREGATES by country'!B:J,9,0)</f>
        <v>0.16752212744448169</v>
      </c>
      <c r="D18" s="309">
        <f>VLOOKUP(B18,'Refugee cost calculations'!B:E,4,0)</f>
        <v>0</v>
      </c>
      <c r="E18" s="309">
        <f t="shared" si="0"/>
        <v>0.16752212744448169</v>
      </c>
    </row>
    <row r="19" spans="2:5">
      <c r="B19" s="281" t="s">
        <v>1408</v>
      </c>
      <c r="C19" s="309">
        <f>VLOOKUP(B19,'AGGREGATES by country'!B:J,9,0)</f>
        <v>0.1201040522624147</v>
      </c>
      <c r="D19" s="309">
        <f>VLOOKUP(B19,'Refugee cost calculations'!B:E,4,0)</f>
        <v>4.2245729612888826E-2</v>
      </c>
      <c r="E19" s="309">
        <f t="shared" si="0"/>
        <v>0.16234978187530352</v>
      </c>
    </row>
    <row r="20" spans="2:5">
      <c r="B20" s="281" t="s">
        <v>926</v>
      </c>
      <c r="C20" s="309">
        <f>VLOOKUP(B20,'AGGREGATES by country'!B:J,9,0)</f>
        <v>0.13831696526918708</v>
      </c>
      <c r="D20" s="309">
        <f>VLOOKUP(B20,'Refugee cost calculations'!B:E,4,0)</f>
        <v>1.7408449272169592E-2</v>
      </c>
      <c r="E20" s="309">
        <f t="shared" si="0"/>
        <v>0.15572541454135666</v>
      </c>
    </row>
    <row r="21" spans="2:5">
      <c r="B21" s="281" t="s">
        <v>840</v>
      </c>
      <c r="C21" s="309">
        <f>VLOOKUP(B21,'AGGREGATES by country'!B:J,9,0)</f>
        <v>9.1683909963377233E-2</v>
      </c>
      <c r="D21" s="309">
        <f>VLOOKUP(B21,'Refugee cost calculations'!B:E,4,0)</f>
        <v>4.7605484831425827E-2</v>
      </c>
      <c r="E21" s="309">
        <f t="shared" si="0"/>
        <v>0.13928939479480307</v>
      </c>
    </row>
    <row r="22" spans="2:5">
      <c r="B22" s="281" t="s">
        <v>490</v>
      </c>
      <c r="C22" s="309">
        <f>VLOOKUP(B22,'AGGREGATES by country'!B:J,9,0)</f>
        <v>1.0271141059577086E-2</v>
      </c>
      <c r="D22" s="309">
        <f>VLOOKUP(B22,'Refugee cost calculations'!B:E,4,0)</f>
        <v>0.10707313515610874</v>
      </c>
      <c r="E22" s="309">
        <f t="shared" si="0"/>
        <v>0.11734427621568583</v>
      </c>
    </row>
    <row r="23" spans="2:5">
      <c r="B23" s="281" t="s">
        <v>618</v>
      </c>
      <c r="C23" s="309">
        <f>VLOOKUP(B23,'AGGREGATES by country'!B:J,9,0)</f>
        <v>9.674204988249431E-2</v>
      </c>
      <c r="D23" s="309">
        <f>VLOOKUP(B23,'Refugee cost calculations'!B:E,4,0)</f>
        <v>1.8327316181673207E-2</v>
      </c>
      <c r="E23" s="309">
        <f t="shared" si="0"/>
        <v>0.11506936606416751</v>
      </c>
    </row>
    <row r="24" spans="2:5">
      <c r="B24" s="281" t="s">
        <v>464</v>
      </c>
      <c r="C24" s="309">
        <f>VLOOKUP(B24,'AGGREGATES by country'!B:J,9,0)</f>
        <v>4.2313057024944506E-2</v>
      </c>
      <c r="D24" s="309">
        <f>VLOOKUP(B24,'Refugee cost calculations'!B:E,4,0)</f>
        <v>5.5399415912724646E-2</v>
      </c>
      <c r="E24" s="309">
        <f t="shared" si="0"/>
        <v>9.7712472937669159E-2</v>
      </c>
    </row>
    <row r="25" spans="2:5">
      <c r="B25" s="281" t="s">
        <v>1187</v>
      </c>
      <c r="C25" s="309">
        <f>VLOOKUP(B25,'AGGREGATES by country'!B:J,9,0)</f>
        <v>7.7739013999811618E-2</v>
      </c>
      <c r="D25" s="309">
        <f>VLOOKUP(B25,'Refugee cost calculations'!B:E,4,0)</f>
        <v>1.6627511327737481E-2</v>
      </c>
      <c r="E25" s="309">
        <f t="shared" si="0"/>
        <v>9.4366525327549106E-2</v>
      </c>
    </row>
    <row r="26" spans="2:5">
      <c r="B26" s="281" t="s">
        <v>763</v>
      </c>
      <c r="C26" s="309">
        <f>VLOOKUP(B26,'AGGREGATES by country'!B:J,9,0)</f>
        <v>8.4838404674404108E-2</v>
      </c>
      <c r="D26" s="309">
        <f>VLOOKUP(B26,'Refugee cost calculations'!B:E,4,0)</f>
        <v>7.0636661830204067E-3</v>
      </c>
      <c r="E26" s="309">
        <f t="shared" si="0"/>
        <v>9.1902070857424509E-2</v>
      </c>
    </row>
    <row r="27" spans="2:5">
      <c r="B27" s="281" t="s">
        <v>1645</v>
      </c>
      <c r="C27" s="309">
        <f>VLOOKUP(B27,'AGGREGATES by country'!B:J,9,0)</f>
        <v>6.9978413803567049E-2</v>
      </c>
      <c r="D27" s="309">
        <f>VLOOKUP(B27,'Refugee cost calculations'!B:E,4,0)</f>
        <v>1.5907703051509216E-2</v>
      </c>
      <c r="E27" s="309">
        <f t="shared" si="0"/>
        <v>8.5886116855076272E-2</v>
      </c>
    </row>
    <row r="28" spans="2:5">
      <c r="B28" s="281" t="s">
        <v>1478</v>
      </c>
      <c r="C28" s="309">
        <f>VLOOKUP(B28,'AGGREGATES by country'!B:J,9,0)</f>
        <v>4.0926835375548901E-3</v>
      </c>
      <c r="D28" s="309">
        <f>VLOOKUP(B28,'Refugee cost calculations'!B:E,4,0)</f>
        <v>7.0753096056921261E-2</v>
      </c>
      <c r="E28" s="309">
        <f t="shared" si="0"/>
        <v>7.484577959447615E-2</v>
      </c>
    </row>
    <row r="29" spans="2:5">
      <c r="B29" s="281" t="s">
        <v>963</v>
      </c>
      <c r="C29" s="309">
        <f>VLOOKUP(B29,'AGGREGATES by country'!B:J,9,0)</f>
        <v>3.0767743553780924E-2</v>
      </c>
      <c r="D29" s="309">
        <f>VLOOKUP(B29,'Refugee cost calculations'!B:E,4,0)</f>
        <v>3.4972174806448222E-2</v>
      </c>
      <c r="E29" s="309">
        <f t="shared" si="0"/>
        <v>6.5739918360229146E-2</v>
      </c>
    </row>
    <row r="30" spans="2:5">
      <c r="B30" s="281" t="s">
        <v>701</v>
      </c>
      <c r="C30" s="309">
        <f>VLOOKUP(B30,'AGGREGATES by country'!B:J,9,0)</f>
        <v>4.2997156139826562E-2</v>
      </c>
      <c r="D30" s="309">
        <f>VLOOKUP(B30,'Refugee cost calculations'!B:E,4,0)</f>
        <v>2.0861100340833685E-2</v>
      </c>
      <c r="E30" s="309">
        <f t="shared" si="0"/>
        <v>6.385825648066025E-2</v>
      </c>
    </row>
    <row r="31" spans="2:5">
      <c r="B31" s="281" t="s">
        <v>296</v>
      </c>
      <c r="C31" s="309">
        <f>VLOOKUP(B31,'AGGREGATES by country'!B:J,9,0)</f>
        <v>3.8932644343097386E-2</v>
      </c>
      <c r="D31" s="309">
        <f>VLOOKUP(B31,'Refugee cost calculations'!B:E,4,0)</f>
        <v>1.9830556889935257E-2</v>
      </c>
      <c r="E31" s="309">
        <f t="shared" si="0"/>
        <v>5.8763201233032643E-2</v>
      </c>
    </row>
    <row r="32" spans="2:5">
      <c r="B32" s="281" t="s">
        <v>257</v>
      </c>
      <c r="C32" s="309">
        <f>VLOOKUP(B32,'AGGREGATES by country'!B:J,9,0)</f>
        <v>1.4263323934555743E-2</v>
      </c>
      <c r="D32" s="309">
        <f>VLOOKUP(B32,'Refugee cost calculations'!B:E,4,0)</f>
        <v>3.5959600743639242E-2</v>
      </c>
      <c r="E32" s="309">
        <f t="shared" si="0"/>
        <v>5.0222924678194988E-2</v>
      </c>
    </row>
    <row r="33" spans="2:28">
      <c r="B33" s="281" t="s">
        <v>1546</v>
      </c>
      <c r="C33" s="309">
        <f>VLOOKUP(B33,'AGGREGATES by country'!B:J,9,0)</f>
        <v>1.7166850200867487E-2</v>
      </c>
      <c r="D33" s="309">
        <f>VLOOKUP(B33,'Refugee cost calculations'!B:E,4,0)</f>
        <v>2.7039629721686814E-2</v>
      </c>
      <c r="E33" s="309">
        <f t="shared" si="0"/>
        <v>4.4206479922554304E-2</v>
      </c>
    </row>
    <row r="34" spans="2:28">
      <c r="B34" s="281" t="s">
        <v>1036</v>
      </c>
      <c r="C34" s="309">
        <f>VLOOKUP(B34,'AGGREGATES by country'!B:J,9,0)</f>
        <v>2.7436035105537462E-2</v>
      </c>
      <c r="D34" s="309">
        <f>VLOOKUP(B34,'Refugee cost calculations'!B:E,4,0)</f>
        <v>1.5829800903626554E-2</v>
      </c>
      <c r="E34" s="309">
        <f t="shared" si="0"/>
        <v>4.3265836009164019E-2</v>
      </c>
    </row>
    <row r="35" spans="2:28">
      <c r="B35" s="222" t="s">
        <v>1702</v>
      </c>
      <c r="C35" s="309">
        <f>VLOOKUP(B35,'AGGREGATES by country'!B:J,9,0)</f>
        <v>2.70130838967487E-5</v>
      </c>
      <c r="D35" s="309">
        <f>VLOOKUP(B35,'Refugee cost calculations'!B:E,4,0)</f>
        <v>4.2536002368035702E-2</v>
      </c>
      <c r="E35" s="309">
        <f t="shared" si="0"/>
        <v>4.2563015451932452E-2</v>
      </c>
    </row>
    <row r="36" spans="2:28">
      <c r="B36" s="281" t="s">
        <v>1215</v>
      </c>
      <c r="C36" s="309">
        <f>VLOOKUP(B36,'AGGREGATES by country'!B:J,9,0)</f>
        <v>2.2075242152728405E-2</v>
      </c>
      <c r="D36" s="309">
        <f>VLOOKUP(B36,'Refugee cost calculations'!B:E,4,0)</f>
        <v>1.5433274965875722E-2</v>
      </c>
      <c r="E36" s="309">
        <f t="shared" si="0"/>
        <v>3.7508517118604125E-2</v>
      </c>
    </row>
    <row r="37" spans="2:28">
      <c r="B37" s="281" t="s">
        <v>1006</v>
      </c>
      <c r="C37" s="309">
        <f>VLOOKUP(B37,'AGGREGATES by country'!B:J,9,0)</f>
        <v>1.6783449208596608E-2</v>
      </c>
      <c r="D37" s="309">
        <f>VLOOKUP(B37,'Refugee cost calculations'!B:E,4,0)</f>
        <v>1.8987167078745874E-2</v>
      </c>
      <c r="E37" s="309">
        <f t="shared" si="0"/>
        <v>3.5770616287342481E-2</v>
      </c>
    </row>
    <row r="38" spans="2:28">
      <c r="B38" s="281" t="s">
        <v>1587</v>
      </c>
      <c r="C38" s="309">
        <f>VLOOKUP(B38,'AGGREGATES by country'!B:J,9,0)</f>
        <v>6.685573566609428E-3</v>
      </c>
      <c r="D38" s="309">
        <f>VLOOKUP(B38,'Refugee cost calculations'!B:E,4,0)</f>
        <v>2.0417837860311771E-2</v>
      </c>
      <c r="E38" s="309">
        <f t="shared" si="0"/>
        <v>2.7103411426921201E-2</v>
      </c>
    </row>
    <row r="39" spans="2:28">
      <c r="B39" s="281" t="s">
        <v>1207</v>
      </c>
      <c r="C39" s="309">
        <f>VLOOKUP(B39,'AGGREGATES by country'!B:J,9,0)</f>
        <v>8.2909025368359396E-3</v>
      </c>
      <c r="D39" s="309">
        <f>VLOOKUP(B39,'Refugee cost calculations'!B:E,4,0)</f>
        <v>1.802370116703465E-2</v>
      </c>
      <c r="E39" s="309">
        <f t="shared" si="0"/>
        <v>2.6314603703870589E-2</v>
      </c>
    </row>
    <row r="40" spans="2:28">
      <c r="B40" s="222" t="s">
        <v>1694</v>
      </c>
      <c r="C40" s="309">
        <f>VLOOKUP(B40,'AGGREGATES by country'!B:J,9,0)</f>
        <v>8.2293636405019362E-3</v>
      </c>
      <c r="D40" s="309">
        <f>VLOOKUP(B40,'Refugee cost calculations'!B:E,4,0)</f>
        <v>1.553604993238231E-2</v>
      </c>
      <c r="E40" s="309">
        <f t="shared" si="0"/>
        <v>2.3765413572884246E-2</v>
      </c>
    </row>
    <row r="41" spans="2:28">
      <c r="B41" s="222" t="s">
        <v>189</v>
      </c>
      <c r="C41" s="309">
        <f>VLOOKUP(B41,'AGGREGATES by country'!B:J,9,0)</f>
        <v>1.8515489654462123E-2</v>
      </c>
      <c r="D41" s="309">
        <f>VLOOKUP(B41,'Refugee cost calculations'!B:E,4,0)</f>
        <v>0</v>
      </c>
      <c r="E41" s="309">
        <f t="shared" si="0"/>
        <v>1.8515489654462123E-2</v>
      </c>
    </row>
    <row r="42" spans="2:28">
      <c r="B42" s="281" t="s">
        <v>1080</v>
      </c>
      <c r="C42" s="309">
        <f>VLOOKUP(B42,'AGGREGATES by country'!B:J,9,0)</f>
        <v>1.3918417337942888E-2</v>
      </c>
      <c r="D42" s="309">
        <f>VLOOKUP(B42,'Refugee cost calculations'!B:E,4,0)</f>
        <v>0</v>
      </c>
      <c r="E42" s="309">
        <f t="shared" si="0"/>
        <v>1.3918417337942888E-2</v>
      </c>
    </row>
    <row r="43" spans="2:28">
      <c r="B43" s="222" t="s">
        <v>1273</v>
      </c>
      <c r="C43" s="309">
        <f>VLOOKUP(B43,'AGGREGATES by country'!B:J,9,0)</f>
        <v>8.1294126439654876E-3</v>
      </c>
      <c r="D43" s="309">
        <f>VLOOKUP(B43,'Refugee cost calculations'!B:E,4,0)</f>
        <v>0</v>
      </c>
      <c r="E43" s="309">
        <f t="shared" si="0"/>
        <v>8.1294126439654876E-3</v>
      </c>
      <c r="AB43" s="307"/>
    </row>
    <row r="44" spans="2:28">
      <c r="B44" s="451" t="s">
        <v>1449</v>
      </c>
      <c r="C44" s="490">
        <f>VLOOKUP(B44,'AGGREGATES by country'!B:J,9,0)</f>
        <v>2.7339956500066873E-3</v>
      </c>
      <c r="D44" s="490">
        <f>VLOOKUP(B44,'Refugee cost calculations'!B:E,4,0)</f>
        <v>0</v>
      </c>
      <c r="E44" s="490">
        <f t="shared" si="0"/>
        <v>2.7339956500066873E-3</v>
      </c>
    </row>
    <row r="45" spans="2:28">
      <c r="B45" s="451" t="s">
        <v>1721</v>
      </c>
      <c r="C45" s="490">
        <f>VLOOKUP(B45,'AGGREGATES by country'!B:J,9,0)</f>
        <v>2.0419231322120718E-3</v>
      </c>
      <c r="D45" s="490">
        <f>VLOOKUP(B45,'Refugee cost calculations'!B:E,4,0)</f>
        <v>0</v>
      </c>
      <c r="E45" s="490">
        <f t="shared" si="0"/>
        <v>2.0419231322120718E-3</v>
      </c>
    </row>
    <row r="46" spans="2:28" ht="15.75" customHeight="1">
      <c r="B46" s="451" t="s">
        <v>998</v>
      </c>
      <c r="C46" s="490">
        <f>VLOOKUP(B46,'AGGREGATES by country'!B:J,9,0)</f>
        <v>7.029427083072261E-5</v>
      </c>
      <c r="D46" s="490">
        <f>VLOOKUP(B46,'Refugee cost calculations'!B:E,4,0)</f>
        <v>0</v>
      </c>
      <c r="E46" s="490">
        <f t="shared" si="0"/>
        <v>7.029427083072261E-5</v>
      </c>
      <c r="F46" s="308"/>
      <c r="G46" s="308"/>
      <c r="H46" s="308"/>
      <c r="I46" s="308"/>
      <c r="J46" s="1014" t="s">
        <v>2777</v>
      </c>
      <c r="K46" s="1014"/>
      <c r="L46" s="1014"/>
      <c r="M46" s="1014"/>
      <c r="N46" s="1014"/>
      <c r="O46" s="1014"/>
      <c r="P46" s="1014"/>
      <c r="Q46" s="1014"/>
    </row>
    <row r="47" spans="2:28" ht="15" customHeight="1">
      <c r="B47" s="232" t="s">
        <v>456</v>
      </c>
      <c r="C47" s="508">
        <f>VLOOKUP(B47,'AGGREGATES by country'!B:J,9,0)</f>
        <v>1.5218288885473542E-5</v>
      </c>
      <c r="D47" s="508">
        <f>VLOOKUP(B47,'Refugee cost calculations'!B:E,4,0)</f>
        <v>0</v>
      </c>
      <c r="E47" s="508">
        <f t="shared" si="0"/>
        <v>1.5218288885473542E-5</v>
      </c>
      <c r="F47" s="308"/>
      <c r="G47" s="308"/>
      <c r="H47" s="308"/>
      <c r="I47" s="308"/>
      <c r="J47" s="1014"/>
      <c r="K47" s="1014"/>
      <c r="L47" s="1014"/>
      <c r="M47" s="1014"/>
      <c r="N47" s="1014"/>
      <c r="O47" s="1014"/>
      <c r="P47" s="1014"/>
      <c r="Q47" s="1014"/>
    </row>
    <row r="48" spans="2:28" ht="15" customHeight="1">
      <c r="D48" s="312"/>
      <c r="E48" s="312"/>
      <c r="F48" s="308"/>
      <c r="G48" s="308"/>
      <c r="H48" s="308"/>
      <c r="I48" s="308"/>
      <c r="J48" s="1014"/>
      <c r="K48" s="1014"/>
      <c r="L48" s="1014"/>
      <c r="M48" s="1014"/>
      <c r="N48" s="1014"/>
      <c r="O48" s="1014"/>
      <c r="P48" s="1014"/>
      <c r="Q48" s="1014"/>
    </row>
    <row r="49" spans="2:17" ht="15" customHeight="1">
      <c r="C49" s="313"/>
      <c r="D49" s="313"/>
      <c r="E49" s="312"/>
      <c r="F49" s="308"/>
      <c r="G49" s="308"/>
      <c r="H49" s="308"/>
      <c r="I49" s="308"/>
      <c r="J49" s="1014"/>
      <c r="K49" s="1014"/>
      <c r="L49" s="1014"/>
      <c r="M49" s="1014"/>
      <c r="N49" s="1014"/>
      <c r="O49" s="1014"/>
      <c r="P49" s="1014"/>
      <c r="Q49" s="1014"/>
    </row>
    <row r="50" spans="2:17" ht="15" customHeight="1">
      <c r="B50" s="421" t="s">
        <v>2717</v>
      </c>
      <c r="C50" s="422">
        <f>SUM(C8:C47)</f>
        <v>4.4232236290759603</v>
      </c>
      <c r="D50" s="422">
        <f t="shared" ref="D50:E50" si="1">SUM(D8:D47)</f>
        <v>2.5972566395981374</v>
      </c>
      <c r="E50" s="422">
        <f t="shared" si="1"/>
        <v>7.0204802686740981</v>
      </c>
      <c r="F50" s="308"/>
      <c r="G50" s="308"/>
      <c r="H50" s="308"/>
      <c r="I50" s="308"/>
      <c r="J50" s="1014"/>
      <c r="K50" s="1014"/>
      <c r="L50" s="1014"/>
      <c r="M50" s="1014"/>
      <c r="N50" s="1014"/>
      <c r="O50" s="1014"/>
      <c r="P50" s="1014"/>
      <c r="Q50" s="1014"/>
    </row>
    <row r="51" spans="2:17" ht="15" customHeight="1">
      <c r="C51" s="314"/>
      <c r="D51" s="314"/>
      <c r="E51" s="312"/>
      <c r="F51" s="308"/>
      <c r="G51" s="308"/>
      <c r="H51" s="308"/>
      <c r="I51" s="308"/>
      <c r="J51" s="1014"/>
      <c r="K51" s="1014"/>
      <c r="L51" s="1014"/>
      <c r="M51" s="1014"/>
      <c r="N51" s="1014"/>
      <c r="O51" s="1014"/>
      <c r="P51" s="1014"/>
      <c r="Q51" s="1014"/>
    </row>
    <row r="52" spans="2:17" ht="15" customHeight="1">
      <c r="C52" s="314"/>
      <c r="D52" s="314"/>
      <c r="E52" s="312"/>
      <c r="F52" s="308"/>
      <c r="G52" s="308"/>
      <c r="H52" s="308"/>
      <c r="I52" s="308"/>
      <c r="J52" s="1014"/>
      <c r="K52" s="1014"/>
      <c r="L52" s="1014"/>
      <c r="M52" s="1014"/>
      <c r="N52" s="1014"/>
      <c r="O52" s="1014"/>
      <c r="P52" s="1014"/>
      <c r="Q52" s="1014"/>
    </row>
    <row r="53" spans="2:17" ht="15" customHeight="1">
      <c r="C53" s="314"/>
      <c r="D53" s="314"/>
      <c r="E53" s="312"/>
      <c r="F53" s="308"/>
      <c r="G53" s="308"/>
      <c r="H53" s="308"/>
      <c r="I53" s="308"/>
      <c r="J53" s="1014"/>
      <c r="K53" s="1014"/>
      <c r="L53" s="1014"/>
      <c r="M53" s="1014"/>
      <c r="N53" s="1014"/>
      <c r="O53" s="1014"/>
      <c r="P53" s="1014"/>
      <c r="Q53" s="1014"/>
    </row>
    <row r="54" spans="2:17" ht="15" customHeight="1">
      <c r="C54" s="314"/>
      <c r="D54" s="314"/>
      <c r="E54" s="312"/>
      <c r="F54" s="308"/>
      <c r="G54" s="308"/>
      <c r="H54" s="308"/>
      <c r="I54" s="308"/>
      <c r="J54" s="1014"/>
      <c r="K54" s="1014"/>
      <c r="L54" s="1014"/>
      <c r="M54" s="1014"/>
      <c r="N54" s="1014"/>
      <c r="O54" s="1014"/>
      <c r="P54" s="1014"/>
      <c r="Q54" s="1014"/>
    </row>
    <row r="55" spans="2:17">
      <c r="C55" s="314"/>
      <c r="D55" s="314"/>
    </row>
    <row r="56" spans="2:17">
      <c r="C56" s="315"/>
      <c r="D56" s="315"/>
    </row>
    <row r="57" spans="2:17">
      <c r="C57" s="315"/>
      <c r="D57" s="315"/>
    </row>
    <row r="58" spans="2:17">
      <c r="C58" s="315"/>
      <c r="D58" s="315"/>
    </row>
    <row r="59" spans="2:17">
      <c r="C59" s="315"/>
      <c r="D59" s="315"/>
    </row>
    <row r="60" spans="2:17">
      <c r="C60" s="315"/>
      <c r="D60" s="315"/>
    </row>
    <row r="61" spans="2:17">
      <c r="C61" s="315"/>
      <c r="D61" s="315"/>
    </row>
    <row r="62" spans="2:17">
      <c r="C62" s="315"/>
      <c r="D62" s="315"/>
    </row>
    <row r="63" spans="2:17">
      <c r="C63" s="315"/>
      <c r="D63" s="315"/>
    </row>
    <row r="64" spans="2:17">
      <c r="C64" s="315"/>
      <c r="D64" s="315"/>
    </row>
    <row r="65" spans="3:4">
      <c r="C65" s="315"/>
      <c r="D65" s="315"/>
    </row>
    <row r="66" spans="3:4">
      <c r="C66" s="315"/>
      <c r="D66" s="315"/>
    </row>
    <row r="67" spans="3:4">
      <c r="C67" s="315"/>
      <c r="D67" s="315"/>
    </row>
    <row r="68" spans="3:4">
      <c r="C68" s="315"/>
      <c r="D68" s="315"/>
    </row>
    <row r="69" spans="3:4">
      <c r="C69" s="315"/>
      <c r="D69" s="315"/>
    </row>
    <row r="70" spans="3:4">
      <c r="C70" s="315"/>
      <c r="D70" s="315"/>
    </row>
    <row r="71" spans="3:4">
      <c r="C71" s="315"/>
      <c r="D71" s="315"/>
    </row>
    <row r="72" spans="3:4">
      <c r="C72" s="315"/>
      <c r="D72" s="315"/>
    </row>
    <row r="73" spans="3:4">
      <c r="C73" s="315"/>
      <c r="D73" s="315"/>
    </row>
    <row r="74" spans="3:4">
      <c r="C74" s="315"/>
      <c r="D74" s="315"/>
    </row>
    <row r="75" spans="3:4">
      <c r="C75" s="315"/>
      <c r="D75" s="315"/>
    </row>
    <row r="76" spans="3:4">
      <c r="C76" s="315"/>
      <c r="D76" s="315"/>
    </row>
    <row r="77" spans="3:4">
      <c r="C77" s="315"/>
      <c r="D77" s="315"/>
    </row>
    <row r="78" spans="3:4">
      <c r="C78" s="315"/>
      <c r="D78" s="315"/>
    </row>
    <row r="79" spans="3:4">
      <c r="C79" s="315"/>
      <c r="D79" s="315"/>
    </row>
    <row r="80" spans="3:4">
      <c r="C80" s="315"/>
      <c r="D80" s="315"/>
    </row>
  </sheetData>
  <sortState xmlns:xlrd2="http://schemas.microsoft.com/office/spreadsheetml/2017/richdata2" ref="B8:E47">
    <sortCondition descending="1" ref="E8:E47"/>
  </sortState>
  <mergeCells count="1">
    <mergeCell ref="J46:Q5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0000"/>
  </sheetPr>
  <dimension ref="A1:AD56"/>
  <sheetViews>
    <sheetView showGridLines="0" topLeftCell="D1" zoomScale="70" zoomScaleNormal="70" workbookViewId="0">
      <selection activeCell="T13" sqref="T13"/>
    </sheetView>
  </sheetViews>
  <sheetFormatPr defaultColWidth="11.5" defaultRowHeight="15.75"/>
  <cols>
    <col min="1" max="1" width="5" style="445" customWidth="1"/>
    <col min="2" max="2" width="20.375" style="445" bestFit="1" customWidth="1"/>
    <col min="3" max="3" width="26" style="445" bestFit="1" customWidth="1"/>
    <col min="4" max="4" width="84.375" style="445" bestFit="1" customWidth="1"/>
    <col min="5" max="5" width="11.5" style="445"/>
    <col min="6" max="6" width="13" style="208" customWidth="1"/>
    <col min="7" max="19" width="11.5" style="208"/>
    <col min="20" max="20" width="22.375" style="253" bestFit="1" customWidth="1"/>
    <col min="21" max="21" width="23.125" style="245" customWidth="1"/>
    <col min="22" max="22" width="23.5" style="245" customWidth="1"/>
    <col min="23" max="23" width="23.125" style="245" customWidth="1"/>
    <col min="24" max="24" width="38.5" style="245" bestFit="1" customWidth="1"/>
    <col min="25" max="25" width="16.625" style="245" customWidth="1"/>
    <col min="26" max="26" width="19" style="245" bestFit="1" customWidth="1"/>
    <col min="27" max="27" width="12.625" style="245" bestFit="1" customWidth="1"/>
    <col min="28" max="28" width="26.125" style="245" customWidth="1"/>
    <col min="29" max="29" width="11.5" style="245"/>
    <col min="30" max="30" width="11.5" style="246"/>
    <col min="31" max="16384" width="11.5" style="208"/>
  </cols>
  <sheetData>
    <row r="1" spans="1:30">
      <c r="T1" s="244"/>
    </row>
    <row r="2" spans="1:30">
      <c r="I2" s="211"/>
      <c r="J2" s="211"/>
      <c r="K2" s="211"/>
      <c r="L2" s="211"/>
      <c r="M2" s="211"/>
      <c r="N2" s="211"/>
      <c r="O2" s="211"/>
      <c r="T2" s="247"/>
      <c r="U2" s="248"/>
      <c r="V2" s="249"/>
      <c r="W2" s="250"/>
      <c r="X2" s="250"/>
      <c r="Y2" s="250"/>
      <c r="Z2" s="251"/>
      <c r="AA2" s="250"/>
      <c r="AB2" s="250"/>
    </row>
    <row r="4" spans="1:30">
      <c r="F4" s="252"/>
      <c r="U4" s="254"/>
      <c r="W4" s="250"/>
      <c r="AA4" s="254"/>
    </row>
    <row r="5" spans="1:30" s="211" customFormat="1" ht="23.25" customHeight="1">
      <c r="A5" s="446"/>
      <c r="B5" s="210" t="s">
        <v>2778</v>
      </c>
      <c r="C5" s="446"/>
      <c r="D5" s="446"/>
      <c r="E5" s="446"/>
      <c r="H5" s="467" t="s">
        <v>2779</v>
      </c>
      <c r="T5" s="255"/>
      <c r="U5" s="256"/>
      <c r="V5" s="255"/>
      <c r="W5" s="255"/>
      <c r="X5" s="256"/>
      <c r="Y5" s="256"/>
      <c r="Z5" s="255"/>
      <c r="AA5" s="255"/>
      <c r="AB5" s="256"/>
      <c r="AC5" s="256"/>
      <c r="AD5" s="257"/>
    </row>
    <row r="6" spans="1:30">
      <c r="T6" s="254"/>
      <c r="V6" s="258"/>
      <c r="W6" s="259"/>
      <c r="X6" s="260"/>
      <c r="Z6" s="254"/>
      <c r="AA6" s="259"/>
      <c r="AB6" s="260"/>
      <c r="AC6" s="261"/>
    </row>
    <row r="7" spans="1:30">
      <c r="B7" s="238" t="s">
        <v>2156</v>
      </c>
      <c r="C7" s="238" t="s">
        <v>2780</v>
      </c>
      <c r="D7" s="238" t="s">
        <v>2729</v>
      </c>
      <c r="E7" s="238" t="s">
        <v>2721</v>
      </c>
      <c r="T7" s="254"/>
      <c r="V7" s="258"/>
      <c r="W7" s="259"/>
      <c r="X7" s="260"/>
      <c r="Z7" s="254"/>
      <c r="AA7" s="259"/>
      <c r="AB7" s="260"/>
      <c r="AC7" s="261"/>
    </row>
    <row r="8" spans="1:30">
      <c r="B8" s="445" t="s">
        <v>1837</v>
      </c>
      <c r="C8" s="445">
        <f>VLOOKUP(B8,'AGGREGATES by country'!B:J,5,0)</f>
        <v>42.614541118575751</v>
      </c>
      <c r="D8" s="445">
        <f>VLOOKUP(B8,'AGGREGATES by country'!B:N,13,0)</f>
        <v>0</v>
      </c>
      <c r="E8" s="445">
        <f>VLOOKUP(B8,'AGGREGATES by country'!B:P,15,0)</f>
        <v>42.614541118575751</v>
      </c>
      <c r="T8" s="254"/>
      <c r="V8" s="258"/>
      <c r="W8" s="259"/>
      <c r="X8" s="260"/>
      <c r="Z8" s="254"/>
      <c r="AA8" s="259"/>
      <c r="AB8" s="260"/>
      <c r="AC8" s="261"/>
    </row>
    <row r="9" spans="1:30">
      <c r="B9" s="445" t="s">
        <v>840</v>
      </c>
      <c r="C9" s="445">
        <f>VLOOKUP(B9,'AGGREGATES by country'!B:J,5,0)</f>
        <v>3.3395290571969696</v>
      </c>
      <c r="D9" s="445">
        <f>VLOOKUP(B9,'AGGREGATES by country'!B:N,13,0)</f>
        <v>3.2477259680004709</v>
      </c>
      <c r="E9" s="445">
        <f>VLOOKUP(B9,'AGGREGATES by country'!B:P,15,0)</f>
        <v>6.5872550251974404</v>
      </c>
      <c r="T9" s="254"/>
      <c r="V9" s="258"/>
      <c r="W9" s="259"/>
      <c r="X9" s="260"/>
      <c r="Z9" s="254"/>
      <c r="AA9" s="259"/>
      <c r="AB9" s="260"/>
      <c r="AC9" s="261"/>
    </row>
    <row r="10" spans="1:30">
      <c r="B10" s="445" t="s">
        <v>1741</v>
      </c>
      <c r="C10" s="445">
        <f>VLOOKUP(B10,'AGGREGATES by country'!B:J,5,0)</f>
        <v>6.2174215796997103</v>
      </c>
      <c r="D10" s="445">
        <f>VLOOKUP(B10,'AGGREGATES by country'!B:N,13,0)</f>
        <v>0</v>
      </c>
      <c r="E10" s="445">
        <f>VLOOKUP(B10,'AGGREGATES by country'!B:P,15,0)</f>
        <v>6.2174215796997103</v>
      </c>
      <c r="T10" s="254"/>
      <c r="V10" s="258"/>
      <c r="W10" s="259"/>
      <c r="X10" s="260"/>
      <c r="Z10" s="254"/>
      <c r="AA10" s="259"/>
      <c r="AB10" s="260"/>
      <c r="AC10" s="261"/>
    </row>
    <row r="11" spans="1:30">
      <c r="B11" s="445" t="s">
        <v>763</v>
      </c>
      <c r="C11" s="445">
        <f>VLOOKUP(B11,'AGGREGATES by country'!B:J,5,0)</f>
        <v>2.1131814393939394</v>
      </c>
      <c r="D11" s="445">
        <f>VLOOKUP(B11,'AGGREGATES by country'!B:N,13,0)</f>
        <v>2.7120629950902715</v>
      </c>
      <c r="E11" s="445">
        <f>VLOOKUP(B11,'AGGREGATES by country'!B:P,15,0)</f>
        <v>4.8252444344842109</v>
      </c>
      <c r="T11" s="254"/>
      <c r="V11" s="258"/>
      <c r="W11" s="259"/>
      <c r="X11" s="260"/>
      <c r="Z11" s="254"/>
      <c r="AA11" s="259"/>
      <c r="AB11" s="260"/>
      <c r="AC11" s="261"/>
    </row>
    <row r="12" spans="1:30">
      <c r="B12" s="445" t="s">
        <v>1364</v>
      </c>
      <c r="C12" s="445">
        <f>VLOOKUP(B12,'AGGREGATES by country'!B:J,5,0)</f>
        <v>2.8562620802224519</v>
      </c>
      <c r="D12" s="445">
        <f>VLOOKUP(B12,'AGGREGATES by country'!B:N,13,0)</f>
        <v>0.6577339140374947</v>
      </c>
      <c r="E12" s="445">
        <f>VLOOKUP(B12,'AGGREGATES by country'!B:P,15,0)</f>
        <v>3.5139959942599468</v>
      </c>
      <c r="T12" s="254"/>
      <c r="V12" s="258"/>
      <c r="W12" s="259"/>
      <c r="X12" s="260"/>
      <c r="Z12" s="254"/>
      <c r="AA12" s="259"/>
      <c r="AB12" s="260"/>
      <c r="AC12" s="261"/>
    </row>
    <row r="13" spans="1:30">
      <c r="B13" s="445" t="s">
        <v>350</v>
      </c>
      <c r="C13" s="445">
        <f>VLOOKUP(B13,'AGGREGATES by country'!B:J,5,0)</f>
        <v>2.6102730131643339</v>
      </c>
      <c r="D13" s="445">
        <f>VLOOKUP(B13,'AGGREGATES by country'!B:N,13,0)</f>
        <v>0</v>
      </c>
      <c r="E13" s="445">
        <f>VLOOKUP(B13,'AGGREGATES by country'!B:P,15,0)</f>
        <v>2.6102730131643339</v>
      </c>
      <c r="T13" s="254"/>
      <c r="V13" s="258"/>
      <c r="W13" s="259"/>
      <c r="X13" s="260"/>
      <c r="Z13" s="254"/>
      <c r="AA13" s="259"/>
      <c r="AB13" s="260"/>
      <c r="AC13" s="261"/>
    </row>
    <row r="14" spans="1:30">
      <c r="B14" s="445" t="s">
        <v>1036</v>
      </c>
      <c r="C14" s="445">
        <f>VLOOKUP(B14,'AGGREGATES by country'!B:J,5,0)</f>
        <v>0.49070737215909088</v>
      </c>
      <c r="D14" s="445">
        <f>VLOOKUP(B14,'AGGREGATES by country'!B:N,13,0)</f>
        <v>2.0605550492453482</v>
      </c>
      <c r="E14" s="445">
        <f>VLOOKUP(B14,'AGGREGATES by country'!B:P,15,0)</f>
        <v>2.5512624214044388</v>
      </c>
      <c r="T14" s="254"/>
      <c r="V14" s="258"/>
      <c r="W14" s="259"/>
      <c r="X14" s="260"/>
      <c r="Z14" s="254"/>
      <c r="AA14" s="259"/>
      <c r="AB14" s="260"/>
      <c r="AC14" s="261"/>
    </row>
    <row r="15" spans="1:30">
      <c r="B15" s="445" t="s">
        <v>1587</v>
      </c>
      <c r="C15" s="445">
        <f>VLOOKUP(B15,'AGGREGATES by country'!B:J,5,0)</f>
        <v>8.1131248439393927E-2</v>
      </c>
      <c r="D15" s="445">
        <f>VLOOKUP(B15,'AGGREGATES by country'!B:N,13,0)</f>
        <v>1.7881295188813735</v>
      </c>
      <c r="E15" s="445">
        <f>VLOOKUP(B15,'AGGREGATES by country'!B:P,15,0)</f>
        <v>1.8692607673207675</v>
      </c>
      <c r="T15" s="254"/>
      <c r="V15" s="258"/>
      <c r="W15" s="259"/>
      <c r="X15" s="260"/>
      <c r="Z15" s="254"/>
      <c r="AA15" s="259"/>
      <c r="AB15" s="260"/>
      <c r="AC15" s="261"/>
    </row>
    <row r="16" spans="1:30">
      <c r="B16" s="445" t="s">
        <v>1215</v>
      </c>
      <c r="C16" s="445">
        <f>VLOOKUP(B16,'AGGREGATES by country'!B:J,5,0)</f>
        <v>0.19103977272727274</v>
      </c>
      <c r="D16" s="445">
        <f>VLOOKUP(B16,'AGGREGATES by country'!B:N,13,0)</f>
        <v>1.1473334599235288</v>
      </c>
      <c r="E16" s="445">
        <f>VLOOKUP(B16,'AGGREGATES by country'!B:P,15,0)</f>
        <v>1.3383732326508015</v>
      </c>
      <c r="T16" s="254"/>
      <c r="V16" s="258"/>
      <c r="W16" s="259"/>
      <c r="X16" s="260"/>
      <c r="Z16" s="254"/>
      <c r="AA16" s="259"/>
      <c r="AB16" s="260"/>
      <c r="AC16" s="261"/>
    </row>
    <row r="17" spans="2:29">
      <c r="B17" s="445" t="s">
        <v>1645</v>
      </c>
      <c r="C17" s="445">
        <f>VLOOKUP(B17,'AGGREGATES by country'!B:J,5,0)</f>
        <v>0.35865266399120632</v>
      </c>
      <c r="D17" s="445">
        <f>VLOOKUP(B17,'AGGREGATES by country'!B:N,13,0)</f>
        <v>0.53404197159726929</v>
      </c>
      <c r="E17" s="445">
        <f>VLOOKUP(B17,'AGGREGATES by country'!B:P,15,0)</f>
        <v>0.89269463558847562</v>
      </c>
      <c r="T17" s="254"/>
      <c r="V17" s="258"/>
      <c r="W17" s="259"/>
      <c r="X17" s="260"/>
      <c r="Z17" s="254"/>
      <c r="AA17" s="259"/>
      <c r="AB17" s="260"/>
      <c r="AC17" s="261"/>
    </row>
    <row r="18" spans="2:29">
      <c r="B18" s="445" t="s">
        <v>296</v>
      </c>
      <c r="C18" s="445">
        <f>VLOOKUP(B18,'AGGREGATES by country'!B:J,5,0)</f>
        <v>0.19240000000000002</v>
      </c>
      <c r="D18" s="445">
        <f>VLOOKUP(B18,'AGGREGATES by country'!B:N,13,0)</f>
        <v>0.58300414980180326</v>
      </c>
      <c r="E18" s="445">
        <f>VLOOKUP(B18,'AGGREGATES by country'!B:P,15,0)</f>
        <v>0.77540414980180328</v>
      </c>
      <c r="T18" s="254"/>
      <c r="V18" s="258"/>
      <c r="W18" s="259"/>
      <c r="X18" s="260"/>
      <c r="Z18" s="254"/>
      <c r="AA18" s="259"/>
      <c r="AB18" s="260"/>
      <c r="AC18" s="261"/>
    </row>
    <row r="19" spans="2:29">
      <c r="B19" s="445" t="s">
        <v>618</v>
      </c>
      <c r="C19" s="445">
        <f>VLOOKUP(B19,'AGGREGATES by country'!B:J,5,0)</f>
        <v>0.32621572212065814</v>
      </c>
      <c r="D19" s="445">
        <f>VLOOKUP(B19,'AGGREGATES by country'!B:N,13,0)</f>
        <v>0.39875864288287427</v>
      </c>
      <c r="E19" s="445">
        <f>VLOOKUP(B19,'AGGREGATES by country'!B:P,15,0)</f>
        <v>0.72497436500353241</v>
      </c>
      <c r="T19" s="254"/>
      <c r="V19" s="258"/>
      <c r="W19" s="259"/>
      <c r="X19" s="260"/>
      <c r="Z19" s="254"/>
      <c r="AA19" s="259"/>
      <c r="AB19" s="260"/>
      <c r="AC19" s="261"/>
    </row>
    <row r="20" spans="2:29">
      <c r="B20" s="445" t="s">
        <v>1080</v>
      </c>
      <c r="C20" s="445">
        <f>VLOOKUP(B20,'AGGREGATES by country'!B:J,5,0)</f>
        <v>0.66662878787878777</v>
      </c>
      <c r="D20" s="445">
        <f>VLOOKUP(B20,'AGGREGATES by country'!B:N,13,0)</f>
        <v>0</v>
      </c>
      <c r="E20" s="445">
        <f>VLOOKUP(B20,'AGGREGATES by country'!B:P,15,0)</f>
        <v>0.66662878787878777</v>
      </c>
      <c r="T20" s="254"/>
      <c r="V20" s="258"/>
      <c r="W20" s="259"/>
      <c r="X20" s="260"/>
      <c r="Z20" s="254"/>
      <c r="AA20" s="259"/>
      <c r="AB20" s="260"/>
      <c r="AC20" s="261"/>
    </row>
    <row r="21" spans="2:29">
      <c r="B21" s="445" t="s">
        <v>503</v>
      </c>
      <c r="C21" s="445">
        <f>VLOOKUP(B21,'AGGREGATES by country'!B:J,5,0)</f>
        <v>0.36058153576489377</v>
      </c>
      <c r="D21" s="445">
        <f>VLOOKUP(B21,'AGGREGATES by country'!B:N,13,0)</f>
        <v>0.22086868320577169</v>
      </c>
      <c r="E21" s="445">
        <f>VLOOKUP(B21,'AGGREGATES by country'!B:P,15,0)</f>
        <v>0.5814502189706654</v>
      </c>
      <c r="T21" s="254"/>
      <c r="V21" s="258"/>
      <c r="W21" s="259"/>
      <c r="X21" s="260"/>
      <c r="Z21" s="254"/>
      <c r="AA21" s="259"/>
      <c r="AB21" s="260"/>
      <c r="AC21" s="261"/>
    </row>
    <row r="22" spans="2:29">
      <c r="B22" s="445" t="s">
        <v>1306</v>
      </c>
      <c r="C22" s="445">
        <f>VLOOKUP(B22,'AGGREGATES by country'!B:J,5,0)</f>
        <v>0.56310128150326133</v>
      </c>
      <c r="D22" s="445">
        <f>VLOOKUP(B22,'AGGREGATES by country'!B:N,13,0)</f>
        <v>0</v>
      </c>
      <c r="E22" s="445">
        <f>VLOOKUP(B22,'AGGREGATES by country'!B:P,15,0)</f>
        <v>0.56310128150326133</v>
      </c>
      <c r="T22" s="254"/>
      <c r="V22" s="258"/>
      <c r="W22" s="259"/>
      <c r="X22" s="260"/>
      <c r="Z22" s="254"/>
      <c r="AA22" s="259"/>
      <c r="AB22" s="260"/>
      <c r="AC22" s="261"/>
    </row>
    <row r="23" spans="2:29">
      <c r="B23" s="445" t="s">
        <v>257</v>
      </c>
      <c r="C23" s="445">
        <f>VLOOKUP(B23,'AGGREGATES by country'!B:J,5,0)</f>
        <v>5.8519942282196973E-2</v>
      </c>
      <c r="D23" s="445">
        <f>VLOOKUP(B23,'AGGREGATES by country'!B:N,13,0)</f>
        <v>0.45199082061402174</v>
      </c>
      <c r="E23" s="445">
        <f>VLOOKUP(B23,'AGGREGATES by country'!B:P,15,0)</f>
        <v>0.51051076289621866</v>
      </c>
      <c r="T23" s="254"/>
      <c r="V23" s="258"/>
      <c r="W23" s="259"/>
      <c r="X23" s="260"/>
      <c r="Z23" s="254"/>
      <c r="AA23" s="259"/>
      <c r="AB23" s="260"/>
      <c r="AC23" s="261"/>
    </row>
    <row r="24" spans="2:29">
      <c r="B24" s="445" t="s">
        <v>1408</v>
      </c>
      <c r="C24" s="445">
        <f>VLOOKUP(B24,'AGGREGATES by country'!B:J,5,0)</f>
        <v>0.25992859848484845</v>
      </c>
      <c r="D24" s="445">
        <f>VLOOKUP(B24,'AGGREGATES by country'!B:N,13,0)</f>
        <v>0.21744850853035302</v>
      </c>
      <c r="E24" s="445">
        <f>VLOOKUP(B24,'AGGREGATES by country'!B:P,15,0)</f>
        <v>0.47737710701520147</v>
      </c>
      <c r="T24" s="254"/>
      <c r="V24" s="258"/>
      <c r="W24" s="259"/>
      <c r="X24" s="260"/>
      <c r="Z24" s="254"/>
      <c r="AA24" s="259"/>
      <c r="AB24" s="260"/>
      <c r="AC24" s="261"/>
    </row>
    <row r="25" spans="2:29">
      <c r="B25" s="445" t="s">
        <v>926</v>
      </c>
      <c r="C25" s="445">
        <f>VLOOKUP(B25,'AGGREGATES by country'!B:J,5,0)</f>
        <v>0.24734007386363635</v>
      </c>
      <c r="D25" s="445">
        <f>VLOOKUP(B25,'AGGREGATES by country'!B:N,13,0)</f>
        <v>0.222018301865234</v>
      </c>
      <c r="E25" s="445">
        <f>VLOOKUP(B25,'AGGREGATES by country'!B:P,15,0)</f>
        <v>0.46935837572887035</v>
      </c>
      <c r="T25" s="254"/>
      <c r="V25" s="258"/>
      <c r="W25" s="259"/>
      <c r="X25" s="260"/>
      <c r="Z25" s="254"/>
      <c r="AA25" s="259"/>
      <c r="AB25" s="260"/>
      <c r="AC25" s="261"/>
    </row>
    <row r="26" spans="2:29">
      <c r="B26" s="445" t="s">
        <v>701</v>
      </c>
      <c r="C26" s="445">
        <f>VLOOKUP(B26,'AGGREGATES by country'!B:J,5,0)</f>
        <v>0.1097709375</v>
      </c>
      <c r="D26" s="445">
        <f>VLOOKUP(B26,'AGGREGATES by country'!B:N,13,0)</f>
        <v>0.26548394671898823</v>
      </c>
      <c r="E26" s="445">
        <f>VLOOKUP(B26,'AGGREGATES by country'!B:P,15,0)</f>
        <v>0.37525488421898823</v>
      </c>
      <c r="T26" s="254"/>
      <c r="V26" s="258"/>
      <c r="W26" s="259"/>
      <c r="X26" s="260"/>
      <c r="Z26" s="254"/>
      <c r="AA26" s="259"/>
      <c r="AB26" s="260"/>
      <c r="AC26" s="261"/>
    </row>
    <row r="27" spans="2:29">
      <c r="B27" s="445" t="s">
        <v>1006</v>
      </c>
      <c r="C27" s="445">
        <f>VLOOKUP(B27,'AGGREGATES by country'!B:J,5,0)</f>
        <v>6.7688318181818183E-2</v>
      </c>
      <c r="D27" s="445">
        <f>VLOOKUP(B27,'AGGREGATES by country'!B:N,13,0)</f>
        <v>0.29266714418912732</v>
      </c>
      <c r="E27" s="445">
        <f>VLOOKUP(B27,'AGGREGATES by country'!B:P,15,0)</f>
        <v>0.36035546237094551</v>
      </c>
      <c r="T27" s="254"/>
      <c r="V27" s="258"/>
      <c r="W27" s="259"/>
      <c r="X27" s="260"/>
      <c r="Z27" s="254"/>
      <c r="AA27" s="259"/>
      <c r="AB27" s="260"/>
      <c r="AC27" s="261"/>
    </row>
    <row r="28" spans="2:29">
      <c r="B28" s="445" t="s">
        <v>1507</v>
      </c>
      <c r="C28" s="445">
        <f>VLOOKUP(B28,'AGGREGATES by country'!B:J,5,0)</f>
        <v>0.16865189393939395</v>
      </c>
      <c r="D28" s="445">
        <f>VLOOKUP(B28,'AGGREGATES by country'!B:N,13,0)</f>
        <v>0.12853601351925842</v>
      </c>
      <c r="E28" s="445">
        <f>VLOOKUP(B28,'AGGREGATES by country'!B:P,15,0)</f>
        <v>0.29718790745865237</v>
      </c>
      <c r="T28" s="254"/>
      <c r="V28" s="258"/>
      <c r="W28" s="259"/>
      <c r="X28" s="260"/>
      <c r="Z28" s="254"/>
      <c r="AA28" s="259"/>
      <c r="AB28" s="260"/>
      <c r="AC28" s="261"/>
    </row>
    <row r="29" spans="2:29">
      <c r="B29" s="445" t="s">
        <v>666</v>
      </c>
      <c r="C29" s="445">
        <f>VLOOKUP(B29,'AGGREGATES by country'!B:J,5,0)</f>
        <v>0.24984999899999999</v>
      </c>
      <c r="D29" s="445">
        <f>VLOOKUP(B29,'AGGREGATES by country'!B:N,13,0)</f>
        <v>2.9053005759140833E-2</v>
      </c>
      <c r="E29" s="445">
        <f>VLOOKUP(B29,'AGGREGATES by country'!B:P,15,0)</f>
        <v>0.27890300475914082</v>
      </c>
      <c r="T29" s="254"/>
      <c r="V29" s="258"/>
      <c r="W29" s="259"/>
      <c r="X29" s="260"/>
      <c r="Z29" s="254"/>
      <c r="AA29" s="259"/>
      <c r="AB29" s="260"/>
      <c r="AC29" s="261"/>
    </row>
    <row r="30" spans="2:29">
      <c r="B30" s="445" t="s">
        <v>1119</v>
      </c>
      <c r="C30" s="445">
        <f>VLOOKUP(B30,'AGGREGATES by country'!B:J,5,0)</f>
        <v>0.23516741699999999</v>
      </c>
      <c r="D30" s="445">
        <f>VLOOKUP(B30,'AGGREGATES by country'!B:N,13,0)</f>
        <v>3.0521505410104718E-2</v>
      </c>
      <c r="E30" s="445">
        <f>VLOOKUP(B30,'AGGREGATES by country'!B:P,15,0)</f>
        <v>0.26568892241010472</v>
      </c>
      <c r="T30" s="254"/>
      <c r="V30" s="258"/>
      <c r="W30" s="259"/>
      <c r="X30" s="260"/>
      <c r="Z30" s="254"/>
      <c r="AA30" s="259"/>
      <c r="AB30" s="260"/>
      <c r="AC30" s="261"/>
    </row>
    <row r="31" spans="2:29">
      <c r="B31" s="445" t="s">
        <v>1478</v>
      </c>
      <c r="C31" s="445">
        <f>VLOOKUP(B31,'AGGREGATES by country'!B:J,5,0)</f>
        <v>9.6393374717699803E-3</v>
      </c>
      <c r="D31" s="445">
        <f>VLOOKUP(B31,'AGGREGATES by country'!B:N,13,0)</f>
        <v>0.23948881557224233</v>
      </c>
      <c r="E31" s="445">
        <f>VLOOKUP(B31,'AGGREGATES by country'!B:P,15,0)</f>
        <v>0.24912815304401231</v>
      </c>
      <c r="T31" s="254"/>
      <c r="V31" s="258"/>
      <c r="W31" s="259"/>
      <c r="X31" s="260"/>
      <c r="Z31" s="254"/>
      <c r="AA31" s="259"/>
      <c r="AB31" s="260"/>
      <c r="AC31" s="261"/>
    </row>
    <row r="32" spans="2:29">
      <c r="B32" s="445" t="s">
        <v>189</v>
      </c>
      <c r="C32" s="445">
        <f>VLOOKUP(B32,'AGGREGATES by country'!B:J,5,0)</f>
        <v>0.23281758416893553</v>
      </c>
      <c r="D32" s="445">
        <f>VLOOKUP(B32,'AGGREGATES by country'!B:N,13,0)</f>
        <v>0</v>
      </c>
      <c r="E32" s="445">
        <f>VLOOKUP(B32,'AGGREGATES by country'!B:P,15,0)</f>
        <v>0.23281758416893553</v>
      </c>
      <c r="T32" s="254"/>
      <c r="V32" s="258"/>
      <c r="W32" s="259"/>
      <c r="X32" s="260"/>
      <c r="Z32" s="254"/>
      <c r="AA32" s="259"/>
      <c r="AB32" s="260"/>
      <c r="AC32" s="261"/>
    </row>
    <row r="33" spans="2:29">
      <c r="B33" s="445" t="s">
        <v>963</v>
      </c>
      <c r="C33" s="445">
        <f>VLOOKUP(B33,'AGGREGATES by country'!B:J,5,0)</f>
        <v>4.5396535278737327E-2</v>
      </c>
      <c r="D33" s="445">
        <f>VLOOKUP(B33,'AGGREGATES by country'!B:N,13,0)</f>
        <v>0.17591876721632213</v>
      </c>
      <c r="E33" s="445">
        <f>VLOOKUP(B33,'AGGREGATES by country'!B:P,15,0)</f>
        <v>0.22131530249505946</v>
      </c>
      <c r="T33" s="262"/>
      <c r="U33" s="250"/>
      <c r="V33" s="263"/>
      <c r="W33" s="259"/>
      <c r="X33" s="260"/>
      <c r="Z33" s="264"/>
      <c r="AA33" s="265"/>
      <c r="AB33" s="260"/>
      <c r="AC33" s="261"/>
    </row>
    <row r="34" spans="2:29">
      <c r="B34" s="445" t="s">
        <v>1147</v>
      </c>
      <c r="C34" s="445">
        <f>VLOOKUP(B34,'AGGREGATES by country'!B:J,5,0)</f>
        <v>0.10150000000000001</v>
      </c>
      <c r="D34" s="445">
        <f>VLOOKUP(B34,'AGGREGATES by country'!B:N,13,0)</f>
        <v>4.9001190038873793E-2</v>
      </c>
      <c r="E34" s="445">
        <f>VLOOKUP(B34,'AGGREGATES by country'!B:P,15,0)</f>
        <v>0.1505011900388738</v>
      </c>
      <c r="T34" s="245"/>
      <c r="W34" s="259"/>
      <c r="X34" s="260"/>
      <c r="Z34" s="254"/>
      <c r="AA34" s="260"/>
      <c r="AB34" s="260"/>
      <c r="AC34" s="261"/>
    </row>
    <row r="35" spans="2:29">
      <c r="B35" s="445" t="s">
        <v>1187</v>
      </c>
      <c r="C35" s="445">
        <f>VLOOKUP(B35,'AGGREGATES by country'!B:J,5,0)</f>
        <v>5.4000000000000006E-2</v>
      </c>
      <c r="D35" s="445">
        <f>VLOOKUP(B35,'AGGREGATES by country'!B:N,13,0)</f>
        <v>4.6879371033898803E-2</v>
      </c>
      <c r="E35" s="445">
        <f>VLOOKUP(B35,'AGGREGATES by country'!B:P,15,0)</f>
        <v>0.10087937103389881</v>
      </c>
      <c r="T35" s="245"/>
      <c r="W35" s="260"/>
      <c r="X35" s="260"/>
      <c r="AA35" s="260"/>
      <c r="AB35" s="260"/>
      <c r="AC35" s="261"/>
    </row>
    <row r="36" spans="2:29">
      <c r="B36" s="447" t="s">
        <v>329</v>
      </c>
      <c r="C36" s="445">
        <f>VLOOKUP(B36,'AGGREGATES by country'!B:J,5,0)</f>
        <v>4.3044848484848483E-3</v>
      </c>
      <c r="D36" s="445">
        <f>VLOOKUP(B36,'AGGREGATES by country'!B:N,13,0)</f>
        <v>8.6480637427917159E-2</v>
      </c>
      <c r="E36" s="445">
        <f>VLOOKUP(B36,'AGGREGATES by country'!B:P,15,0)</f>
        <v>9.0785122276402008E-2</v>
      </c>
      <c r="T36" s="245"/>
      <c r="W36" s="260"/>
      <c r="X36" s="260"/>
      <c r="AA36" s="260"/>
      <c r="AB36" s="260"/>
      <c r="AC36" s="261"/>
    </row>
    <row r="37" spans="2:29">
      <c r="B37" s="445" t="s">
        <v>464</v>
      </c>
      <c r="C37" s="445">
        <f>VLOOKUP(B37,'AGGREGATES by country'!B:J,5,0)</f>
        <v>2.2921087170287686E-2</v>
      </c>
      <c r="D37" s="445">
        <f>VLOOKUP(B37,'AGGREGATES by country'!B:N,13,0)</f>
        <v>6.5401771866888447E-2</v>
      </c>
      <c r="E37" s="445">
        <f>VLOOKUP(B37,'AGGREGATES by country'!B:P,15,0)</f>
        <v>8.8322859037176127E-2</v>
      </c>
      <c r="T37" s="245"/>
      <c r="W37" s="260"/>
      <c r="X37" s="260"/>
      <c r="AA37" s="260"/>
      <c r="AB37" s="260"/>
      <c r="AC37" s="261"/>
    </row>
    <row r="38" spans="2:29">
      <c r="B38" s="445" t="s">
        <v>1546</v>
      </c>
      <c r="C38" s="445">
        <f>VLOOKUP(B38,'AGGREGATES by country'!B:J,5,0)</f>
        <v>8.7117878787878796E-3</v>
      </c>
      <c r="D38" s="445">
        <f>VLOOKUP(B38,'AGGREGATES by country'!B:N,13,0)</f>
        <v>5.4808792360767807E-2</v>
      </c>
      <c r="E38" s="445">
        <f>VLOOKUP(B38,'AGGREGATES by country'!B:P,15,0)</f>
        <v>6.3520580239555688E-2</v>
      </c>
      <c r="T38" s="245"/>
      <c r="W38" s="260"/>
      <c r="X38" s="260"/>
      <c r="AA38" s="260"/>
      <c r="AB38" s="260"/>
      <c r="AC38" s="261"/>
    </row>
    <row r="39" spans="2:29">
      <c r="B39" s="445" t="s">
        <v>1694</v>
      </c>
      <c r="C39" s="445">
        <f>VLOOKUP(B39,'AGGREGATES by country'!B:J,5,0)</f>
        <v>5.8622374206155348E-2</v>
      </c>
      <c r="D39" s="445">
        <f>VLOOKUP(B39,'AGGREGATES by country'!B:N,13,0)</f>
        <v>0</v>
      </c>
      <c r="E39" s="445">
        <f>VLOOKUP(B39,'AGGREGATES by country'!B:P,15,0)</f>
        <v>5.8622374206155348E-2</v>
      </c>
    </row>
    <row r="40" spans="2:29">
      <c r="B40" s="445" t="s">
        <v>1449</v>
      </c>
      <c r="C40" s="445">
        <f>VLOOKUP(B40,'AGGREGATES by country'!B:J,5,0)</f>
        <v>4.2405303030303022E-2</v>
      </c>
      <c r="D40" s="445">
        <f>VLOOKUP(B40,'AGGREGATES by country'!B:N,13,0)</f>
        <v>0</v>
      </c>
      <c r="E40" s="445">
        <f>VLOOKUP(B40,'AGGREGATES by country'!B:P,15,0)</f>
        <v>4.2405303030303022E-2</v>
      </c>
    </row>
    <row r="41" spans="2:29">
      <c r="B41" s="445" t="s">
        <v>490</v>
      </c>
      <c r="C41" s="445">
        <f>VLOOKUP(B41,'AGGREGATES by country'!B:J,5,0)</f>
        <v>2.3939393939393936E-3</v>
      </c>
      <c r="D41" s="445">
        <f>VLOOKUP(B41,'AGGREGATES by country'!B:N,13,0)</f>
        <v>2.4082909937127733E-2</v>
      </c>
      <c r="E41" s="445">
        <f>VLOOKUP(B41,'AGGREGATES by country'!B:P,15,0)</f>
        <v>2.6476849331067125E-2</v>
      </c>
    </row>
    <row r="42" spans="2:29">
      <c r="B42" s="445" t="s">
        <v>1273</v>
      </c>
      <c r="C42" s="445">
        <f>VLOOKUP(B42,'AGGREGATES by country'!B:J,5,0)</f>
        <v>1.622039910738169E-2</v>
      </c>
      <c r="D42" s="445">
        <f>VLOOKUP(B42,'AGGREGATES by country'!B:N,13,0)</f>
        <v>0</v>
      </c>
      <c r="E42" s="445">
        <f>VLOOKUP(B42,'AGGREGATES by country'!B:P,15,0)</f>
        <v>1.622039910738169E-2</v>
      </c>
    </row>
    <row r="43" spans="2:29">
      <c r="B43" s="447" t="s">
        <v>1207</v>
      </c>
      <c r="C43" s="445">
        <f>VLOOKUP(B43,'AGGREGATES by country'!B:J,5,0)</f>
        <v>1.15E-3</v>
      </c>
      <c r="D43" s="445">
        <f>VLOOKUP(B43,'AGGREGATES by country'!B:N,13,0)</f>
        <v>1.2504145273526121E-2</v>
      </c>
      <c r="E43" s="445">
        <f>VLOOKUP(B43,'AGGREGATES by country'!B:P,15,0)</f>
        <v>1.3654145273526121E-2</v>
      </c>
    </row>
    <row r="44" spans="2:29">
      <c r="B44" s="447" t="s">
        <v>1721</v>
      </c>
      <c r="C44" s="447">
        <f>VLOOKUP(B44,'AGGREGATES by country'!B:J,5,0)</f>
        <v>1.1837121212121207E-2</v>
      </c>
      <c r="D44" s="447">
        <f>VLOOKUP(B44,'AGGREGATES by country'!B:N,13,0)</f>
        <v>0</v>
      </c>
      <c r="E44" s="447">
        <f>VLOOKUP(B44,'AGGREGATES by country'!B:P,15,0)</f>
        <v>1.1837121212121207E-2</v>
      </c>
    </row>
    <row r="45" spans="2:29">
      <c r="B45" s="445" t="s">
        <v>456</v>
      </c>
      <c r="C45" s="447">
        <f>VLOOKUP(B45,'AGGREGATES by country'!B:J,5,0)</f>
        <v>2.1217307665106011E-3</v>
      </c>
      <c r="D45" s="447">
        <f>VLOOKUP(B45,'AGGREGATES by country'!B:N,13,0)</f>
        <v>0</v>
      </c>
      <c r="E45" s="447">
        <f>VLOOKUP(B45,'AGGREGATES by country'!B:P,15,0)</f>
        <v>2.1217307665106011E-3</v>
      </c>
    </row>
    <row r="46" spans="2:29">
      <c r="B46" s="447" t="s">
        <v>998</v>
      </c>
      <c r="C46" s="447">
        <f>VLOOKUP(B46,'AGGREGATES by country'!B:J,5,0)</f>
        <v>1.7708333333333332E-3</v>
      </c>
      <c r="D46" s="447">
        <f>VLOOKUP(B46,'AGGREGATES by country'!B:N,13,0)</f>
        <v>0</v>
      </c>
      <c r="E46" s="447">
        <f>VLOOKUP(B46,'AGGREGATES by country'!B:P,15,0)</f>
        <v>1.7708333333333332E-3</v>
      </c>
      <c r="F46" s="216"/>
    </row>
    <row r="47" spans="2:29">
      <c r="B47" s="509" t="s">
        <v>1702</v>
      </c>
      <c r="C47" s="509">
        <f>VLOOKUP(B47,'AGGREGATES by country'!B:J,5,0)</f>
        <v>1.8416856060606061E-4</v>
      </c>
      <c r="D47" s="509">
        <f>VLOOKUP(B47,'AGGREGATES by country'!B:N,13,0)</f>
        <v>0</v>
      </c>
      <c r="E47" s="509">
        <f>VLOOKUP(B47,'AGGREGATES by country'!B:P,15,0)</f>
        <v>1.8416856060606061E-4</v>
      </c>
      <c r="F47" s="216"/>
    </row>
    <row r="48" spans="2:29" ht="15.75" customHeight="1">
      <c r="G48" s="1015" t="s">
        <v>2781</v>
      </c>
      <c r="H48" s="1015"/>
      <c r="I48" s="1015"/>
      <c r="J48" s="1015"/>
      <c r="K48" s="1015"/>
      <c r="L48" s="1015"/>
      <c r="M48" s="1015"/>
      <c r="N48" s="1015"/>
      <c r="O48" s="1015"/>
    </row>
    <row r="49" spans="2:15">
      <c r="G49" s="1015"/>
      <c r="H49" s="1015"/>
      <c r="I49" s="1015"/>
      <c r="J49" s="1015"/>
      <c r="K49" s="1015"/>
      <c r="L49" s="1015"/>
      <c r="M49" s="1015"/>
      <c r="N49" s="1015"/>
      <c r="O49" s="1015"/>
    </row>
    <row r="50" spans="2:15">
      <c r="B50" s="448" t="s">
        <v>2717</v>
      </c>
      <c r="C50" s="449">
        <f>SUM(C8:C47)</f>
        <v>64.994580539516974</v>
      </c>
      <c r="D50" s="449">
        <f t="shared" ref="D50:E50" si="0">SUM(D8:D47)</f>
        <v>15.7425</v>
      </c>
      <c r="E50" s="449">
        <f t="shared" si="0"/>
        <v>80.737080539516967</v>
      </c>
      <c r="G50" s="1015"/>
      <c r="H50" s="1015"/>
      <c r="I50" s="1015"/>
      <c r="J50" s="1015"/>
      <c r="K50" s="1015"/>
      <c r="L50" s="1015"/>
      <c r="M50" s="1015"/>
      <c r="N50" s="1015"/>
      <c r="O50" s="1015"/>
    </row>
    <row r="51" spans="2:15" ht="15" customHeight="1">
      <c r="G51" s="1015"/>
      <c r="H51" s="1015"/>
      <c r="I51" s="1015"/>
      <c r="J51" s="1015"/>
      <c r="K51" s="1015"/>
      <c r="L51" s="1015"/>
      <c r="M51" s="1015"/>
      <c r="N51" s="1015"/>
      <c r="O51" s="1015"/>
    </row>
    <row r="52" spans="2:15" ht="15" customHeight="1">
      <c r="G52" s="1015"/>
      <c r="H52" s="1015"/>
      <c r="I52" s="1015"/>
      <c r="J52" s="1015"/>
      <c r="K52" s="1015"/>
      <c r="L52" s="1015"/>
      <c r="M52" s="1015"/>
      <c r="N52" s="1015"/>
      <c r="O52" s="1015"/>
    </row>
    <row r="53" spans="2:15" ht="15" customHeight="1">
      <c r="G53" s="1015"/>
      <c r="H53" s="1015"/>
      <c r="I53" s="1015"/>
      <c r="J53" s="1015"/>
      <c r="K53" s="1015"/>
      <c r="L53" s="1015"/>
      <c r="M53" s="1015"/>
      <c r="N53" s="1015"/>
      <c r="O53" s="1015"/>
    </row>
    <row r="54" spans="2:15" ht="15" customHeight="1">
      <c r="G54" s="1015"/>
      <c r="H54" s="1015"/>
      <c r="I54" s="1015"/>
      <c r="J54" s="1015"/>
      <c r="K54" s="1015"/>
      <c r="L54" s="1015"/>
      <c r="M54" s="1015"/>
      <c r="N54" s="1015"/>
      <c r="O54" s="1015"/>
    </row>
    <row r="55" spans="2:15" ht="15" customHeight="1">
      <c r="G55" s="1015"/>
      <c r="H55" s="1015"/>
      <c r="I55" s="1015"/>
      <c r="J55" s="1015"/>
      <c r="K55" s="1015"/>
      <c r="L55" s="1015"/>
      <c r="M55" s="1015"/>
      <c r="N55" s="1015"/>
      <c r="O55" s="1015"/>
    </row>
    <row r="56" spans="2:15" ht="15" customHeight="1">
      <c r="G56" s="1015"/>
      <c r="H56" s="1015"/>
      <c r="I56" s="1015"/>
      <c r="J56" s="1015"/>
      <c r="K56" s="1015"/>
      <c r="L56" s="1015"/>
      <c r="M56" s="1015"/>
      <c r="N56" s="1015"/>
      <c r="O56" s="1015"/>
    </row>
  </sheetData>
  <sortState xmlns:xlrd2="http://schemas.microsoft.com/office/spreadsheetml/2017/richdata2" ref="B8:E47">
    <sortCondition descending="1" ref="E8:E47"/>
  </sortState>
  <mergeCells count="1">
    <mergeCell ref="G48:O56"/>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00"/>
  </sheetPr>
  <dimension ref="B5:T48"/>
  <sheetViews>
    <sheetView showGridLines="0" zoomScaleNormal="100" workbookViewId="0">
      <selection activeCell="M5" sqref="M5"/>
    </sheetView>
  </sheetViews>
  <sheetFormatPr defaultColWidth="9" defaultRowHeight="15.75"/>
  <cols>
    <col min="1" max="1" width="5.875" style="279" customWidth="1"/>
    <col min="2" max="2" width="40" style="279" customWidth="1"/>
    <col min="3" max="3" width="20.375" style="279" customWidth="1"/>
    <col min="4" max="4" width="26.625" style="279" customWidth="1"/>
    <col min="5" max="5" width="13.375" style="279" customWidth="1"/>
    <col min="6" max="16384" width="9" style="279"/>
  </cols>
  <sheetData>
    <row r="5" spans="2:13" ht="21">
      <c r="B5" s="139" t="s">
        <v>2782</v>
      </c>
      <c r="K5" s="468"/>
      <c r="M5" s="469" t="s">
        <v>2783</v>
      </c>
    </row>
    <row r="7" spans="2:13">
      <c r="B7" s="316" t="s">
        <v>2156</v>
      </c>
      <c r="C7" s="316" t="s">
        <v>2784</v>
      </c>
      <c r="D7" s="316" t="s">
        <v>2785</v>
      </c>
      <c r="E7" s="316" t="s">
        <v>2786</v>
      </c>
    </row>
    <row r="8" spans="2:13">
      <c r="B8" s="279" t="s">
        <v>2060</v>
      </c>
      <c r="C8" s="279">
        <v>0</v>
      </c>
      <c r="D8" s="279">
        <v>4</v>
      </c>
      <c r="E8" s="317">
        <v>4</v>
      </c>
    </row>
    <row r="9" spans="2:13">
      <c r="B9" s="279" t="s">
        <v>2787</v>
      </c>
      <c r="C9" s="279">
        <v>0.6</v>
      </c>
      <c r="D9" s="279">
        <v>0.4</v>
      </c>
      <c r="E9" s="317">
        <v>1</v>
      </c>
    </row>
    <row r="10" spans="2:13">
      <c r="B10" s="279" t="s">
        <v>2788</v>
      </c>
      <c r="C10" s="279">
        <v>0</v>
      </c>
      <c r="D10" s="279">
        <v>1</v>
      </c>
      <c r="E10" s="317">
        <v>1</v>
      </c>
    </row>
    <row r="11" spans="2:13">
      <c r="B11" s="279" t="s">
        <v>2789</v>
      </c>
      <c r="C11" s="279">
        <v>0</v>
      </c>
      <c r="D11" s="279">
        <v>1</v>
      </c>
      <c r="E11" s="317">
        <v>1</v>
      </c>
    </row>
    <row r="12" spans="2:13">
      <c r="B12" s="279" t="s">
        <v>296</v>
      </c>
      <c r="C12" s="279">
        <v>8.3000000000000004E-2</v>
      </c>
      <c r="D12" s="279">
        <v>0.73</v>
      </c>
      <c r="E12" s="317">
        <v>0.81299999999999994</v>
      </c>
    </row>
    <row r="13" spans="2:13">
      <c r="B13" s="279" t="s">
        <v>701</v>
      </c>
      <c r="C13" s="279">
        <v>0</v>
      </c>
      <c r="D13" s="279">
        <v>0.7</v>
      </c>
      <c r="E13" s="317">
        <v>0.7</v>
      </c>
    </row>
    <row r="14" spans="2:13">
      <c r="B14" s="279" t="s">
        <v>1507</v>
      </c>
      <c r="C14" s="279">
        <v>0</v>
      </c>
      <c r="D14" s="279">
        <v>0.53</v>
      </c>
      <c r="E14" s="317">
        <v>0.53</v>
      </c>
    </row>
    <row r="15" spans="2:13">
      <c r="B15" s="279" t="s">
        <v>1036</v>
      </c>
      <c r="C15" s="279">
        <v>0</v>
      </c>
      <c r="D15" s="279">
        <v>0.36</v>
      </c>
      <c r="E15" s="317">
        <v>0.36</v>
      </c>
    </row>
    <row r="16" spans="2:13">
      <c r="B16" s="279" t="s">
        <v>1645</v>
      </c>
      <c r="C16" s="279">
        <v>0</v>
      </c>
      <c r="D16" s="279">
        <v>0.3</v>
      </c>
      <c r="E16" s="317">
        <v>0.3</v>
      </c>
    </row>
    <row r="17" spans="2:20">
      <c r="B17" s="279" t="s">
        <v>503</v>
      </c>
      <c r="C17" s="279">
        <v>0</v>
      </c>
      <c r="D17" s="279">
        <v>0.2</v>
      </c>
      <c r="E17" s="317">
        <v>0.2</v>
      </c>
    </row>
    <row r="18" spans="2:20">
      <c r="B18" s="279" t="s">
        <v>464</v>
      </c>
      <c r="C18" s="279">
        <v>0</v>
      </c>
      <c r="D18" s="279">
        <v>0.1</v>
      </c>
      <c r="E18" s="317">
        <v>0.1</v>
      </c>
    </row>
    <row r="19" spans="2:20">
      <c r="B19" s="279" t="s">
        <v>350</v>
      </c>
      <c r="C19" s="279">
        <v>0</v>
      </c>
      <c r="D19" s="279">
        <v>7.5786282682834397E-2</v>
      </c>
      <c r="E19" s="317">
        <v>7.5786282682834397E-2</v>
      </c>
    </row>
    <row r="20" spans="2:20">
      <c r="B20" s="279" t="s">
        <v>840</v>
      </c>
      <c r="C20" s="279">
        <v>7.0000000000000007E-2</v>
      </c>
      <c r="D20" s="279">
        <v>0</v>
      </c>
      <c r="E20" s="318">
        <v>7.0000000000000007E-2</v>
      </c>
    </row>
    <row r="21" spans="2:20">
      <c r="B21" s="279" t="s">
        <v>1006</v>
      </c>
      <c r="C21" s="279">
        <v>5.2999999999999999E-2</v>
      </c>
      <c r="D21" s="279">
        <v>0</v>
      </c>
      <c r="E21" s="317">
        <v>5.2999999999999999E-2</v>
      </c>
    </row>
    <row r="22" spans="2:20">
      <c r="B22" s="279" t="s">
        <v>2790</v>
      </c>
      <c r="C22" s="279">
        <v>0</v>
      </c>
      <c r="D22" s="279">
        <v>4.7366426676771498E-3</v>
      </c>
      <c r="E22" s="317">
        <v>4.7366426676771498E-3</v>
      </c>
    </row>
    <row r="23" spans="2:20">
      <c r="B23" s="279" t="s">
        <v>666</v>
      </c>
      <c r="C23" s="279">
        <v>0</v>
      </c>
      <c r="D23" s="279">
        <v>1E-4</v>
      </c>
      <c r="E23" s="317">
        <v>1E-4</v>
      </c>
    </row>
    <row r="24" spans="2:20">
      <c r="B24" s="280" t="s">
        <v>1207</v>
      </c>
      <c r="C24" s="280">
        <v>0</v>
      </c>
      <c r="D24" s="280">
        <v>5.0000000000000002E-5</v>
      </c>
      <c r="E24" s="429">
        <v>5.0000000000000002E-5</v>
      </c>
    </row>
    <row r="28" spans="2:20">
      <c r="B28" s="414" t="s">
        <v>2791</v>
      </c>
      <c r="C28" s="415">
        <v>0.80599999999999994</v>
      </c>
      <c r="D28" s="415">
        <v>9.3957862826828347</v>
      </c>
      <c r="E28" s="416">
        <v>10.20667292535051</v>
      </c>
    </row>
    <row r="29" spans="2:20" ht="41.25" customHeight="1">
      <c r="K29" s="1001" t="s">
        <v>2792</v>
      </c>
      <c r="L29" s="1001"/>
      <c r="M29" s="1001"/>
      <c r="N29" s="1001"/>
      <c r="O29" s="1001"/>
      <c r="P29" s="1001"/>
      <c r="Q29" s="1001"/>
      <c r="R29" s="1001"/>
      <c r="S29" s="1001"/>
      <c r="T29" s="1001"/>
    </row>
    <row r="30" spans="2:20">
      <c r="C30" s="320"/>
      <c r="K30" s="1001"/>
      <c r="L30" s="1001"/>
      <c r="M30" s="1001"/>
      <c r="N30" s="1001"/>
      <c r="O30" s="1001"/>
      <c r="P30" s="1001"/>
      <c r="Q30" s="1001"/>
      <c r="R30" s="1001"/>
      <c r="S30" s="1001"/>
      <c r="T30" s="1001"/>
    </row>
    <row r="31" spans="2:20">
      <c r="C31" s="320"/>
      <c r="K31" s="1001"/>
      <c r="L31" s="1001"/>
      <c r="M31" s="1001"/>
      <c r="N31" s="1001"/>
      <c r="O31" s="1001"/>
      <c r="P31" s="1001"/>
      <c r="Q31" s="1001"/>
      <c r="R31" s="1001"/>
      <c r="S31" s="1001"/>
      <c r="T31" s="1001"/>
    </row>
    <row r="32" spans="2:20">
      <c r="L32" s="319"/>
      <c r="M32" s="319"/>
      <c r="N32" s="319"/>
      <c r="O32" s="319"/>
      <c r="P32" s="319"/>
      <c r="Q32" s="319"/>
      <c r="R32" s="319"/>
    </row>
    <row r="33" spans="2:18">
      <c r="L33" s="319"/>
      <c r="M33" s="319"/>
      <c r="N33" s="319"/>
      <c r="O33" s="319"/>
      <c r="P33" s="319"/>
      <c r="Q33" s="319"/>
      <c r="R33" s="319"/>
    </row>
    <row r="34" spans="2:18" ht="15.75" hidden="1" customHeight="1">
      <c r="L34" s="319"/>
      <c r="M34" s="319"/>
      <c r="N34" s="319"/>
      <c r="O34" s="319"/>
      <c r="P34" s="319"/>
      <c r="Q34" s="319"/>
      <c r="R34" s="319"/>
    </row>
    <row r="35" spans="2:18">
      <c r="L35" s="319"/>
      <c r="M35" s="319"/>
      <c r="N35" s="319"/>
      <c r="O35" s="319"/>
      <c r="P35" s="319"/>
      <c r="Q35" s="319"/>
      <c r="R35" s="319"/>
    </row>
    <row r="38" spans="2:18">
      <c r="B38" s="321"/>
      <c r="C38" s="285"/>
      <c r="D38" s="285"/>
      <c r="E38" s="285"/>
      <c r="F38" s="285"/>
    </row>
    <row r="39" spans="2:18">
      <c r="B39" s="285"/>
      <c r="C39" s="322"/>
      <c r="D39" s="285"/>
      <c r="E39" s="285"/>
      <c r="F39" s="285"/>
    </row>
    <row r="40" spans="2:18">
      <c r="B40" s="321"/>
      <c r="C40" s="285"/>
      <c r="D40" s="285"/>
      <c r="E40" s="285"/>
      <c r="F40" s="285"/>
    </row>
    <row r="41" spans="2:18">
      <c r="B41" s="321"/>
      <c r="C41" s="285"/>
      <c r="D41" s="285"/>
      <c r="E41" s="285"/>
      <c r="F41" s="285"/>
    </row>
    <row r="42" spans="2:18">
      <c r="B42" s="285"/>
      <c r="C42" s="285"/>
      <c r="D42" s="285"/>
      <c r="E42" s="285"/>
      <c r="F42" s="285"/>
    </row>
    <row r="43" spans="2:18">
      <c r="B43" s="285"/>
      <c r="C43" s="285"/>
      <c r="D43" s="285"/>
      <c r="E43" s="285"/>
      <c r="F43" s="285"/>
    </row>
    <row r="44" spans="2:18">
      <c r="B44" s="285"/>
      <c r="C44" s="285"/>
      <c r="D44" s="285"/>
      <c r="E44" s="285"/>
      <c r="F44" s="285"/>
    </row>
    <row r="45" spans="2:18">
      <c r="B45" s="285"/>
      <c r="C45" s="323"/>
      <c r="D45" s="285"/>
      <c r="E45" s="285"/>
      <c r="F45" s="285"/>
    </row>
    <row r="46" spans="2:18">
      <c r="B46" s="285"/>
      <c r="C46" s="285"/>
      <c r="D46" s="285"/>
      <c r="E46" s="285"/>
      <c r="F46" s="285"/>
    </row>
    <row r="47" spans="2:18">
      <c r="B47" s="285"/>
      <c r="C47" s="285"/>
      <c r="D47" s="285"/>
      <c r="E47" s="285"/>
      <c r="F47" s="285"/>
    </row>
    <row r="48" spans="2:18">
      <c r="B48" s="285"/>
      <c r="C48" s="285"/>
      <c r="D48" s="285"/>
      <c r="E48" s="285"/>
      <c r="F48" s="285"/>
    </row>
  </sheetData>
  <sortState xmlns:xlrd2="http://schemas.microsoft.com/office/spreadsheetml/2017/richdata2" ref="B8:E24">
    <sortCondition descending="1" ref="E8:E24"/>
  </sortState>
  <mergeCells count="1">
    <mergeCell ref="K29:T3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B2:H49"/>
  <sheetViews>
    <sheetView showGridLines="0" workbookViewId="0">
      <selection activeCell="E34" sqref="E34"/>
    </sheetView>
  </sheetViews>
  <sheetFormatPr defaultColWidth="9" defaultRowHeight="15.75"/>
  <cols>
    <col min="1" max="1" width="9" style="279"/>
    <col min="2" max="2" width="36.125" style="279" customWidth="1"/>
    <col min="3" max="3" width="32" style="324" customWidth="1"/>
    <col min="4" max="4" width="26.875" style="139" customWidth="1"/>
    <col min="5" max="5" width="27" style="139" bestFit="1" customWidth="1"/>
    <col min="6" max="16384" width="9" style="279"/>
  </cols>
  <sheetData>
    <row r="2" spans="2:8">
      <c r="B2" s="251" t="s">
        <v>2793</v>
      </c>
      <c r="D2" s="325"/>
      <c r="E2" s="292"/>
      <c r="F2" s="292"/>
      <c r="G2" s="292"/>
      <c r="H2" s="292"/>
    </row>
    <row r="3" spans="2:8">
      <c r="B3" s="281"/>
      <c r="C3" s="281"/>
      <c r="D3" s="326"/>
      <c r="E3" s="292"/>
      <c r="F3" s="281"/>
      <c r="G3" s="281"/>
      <c r="H3" s="281"/>
    </row>
    <row r="4" spans="2:8">
      <c r="B4" s="245" t="s">
        <v>2794</v>
      </c>
      <c r="C4" s="327" t="s">
        <v>2795</v>
      </c>
      <c r="E4" s="250"/>
      <c r="F4" s="281"/>
      <c r="G4" s="281"/>
      <c r="H4" s="281"/>
    </row>
    <row r="5" spans="2:8" ht="15.75" customHeight="1">
      <c r="B5" s="253"/>
      <c r="C5" s="245"/>
      <c r="D5" s="259"/>
      <c r="E5" s="250"/>
      <c r="F5" s="328"/>
      <c r="G5" s="328"/>
      <c r="H5" s="328"/>
    </row>
    <row r="6" spans="2:8" ht="31.5">
      <c r="B6" s="255" t="s">
        <v>2156</v>
      </c>
      <c r="C6" s="255" t="s">
        <v>2796</v>
      </c>
      <c r="D6" s="329" t="s">
        <v>2797</v>
      </c>
      <c r="E6" s="330" t="s">
        <v>2798</v>
      </c>
      <c r="F6" s="328"/>
      <c r="G6" s="328"/>
      <c r="H6" s="328"/>
    </row>
    <row r="7" spans="2:8">
      <c r="B7" s="254" t="s">
        <v>257</v>
      </c>
      <c r="C7" s="254">
        <v>4097.3999999999996</v>
      </c>
      <c r="D7" s="259">
        <f t="shared" ref="D7:D46" si="0">C7/$C$34</f>
        <v>2.9301614113174564E-2</v>
      </c>
      <c r="E7" s="331">
        <f>D7*VLOOKUP("EU (Commission and Council)",'AGGREGATES by country'!B:F,5,0)</f>
        <v>0.3440009496886694</v>
      </c>
      <c r="F7" s="328"/>
      <c r="G7" s="328"/>
      <c r="H7" s="328"/>
    </row>
    <row r="8" spans="2:8">
      <c r="B8" s="254" t="s">
        <v>296</v>
      </c>
      <c r="C8" s="254">
        <v>4881</v>
      </c>
      <c r="D8" s="259">
        <f t="shared" si="0"/>
        <v>3.4905349364573894E-2</v>
      </c>
      <c r="E8" s="331">
        <f>D8*VLOOKUP("EU (Commission and Council)",'AGGREGATES by country'!B:F,5,0)</f>
        <v>0.4097888015400975</v>
      </c>
      <c r="F8" s="328"/>
      <c r="G8" s="328"/>
      <c r="H8" s="328"/>
    </row>
    <row r="9" spans="2:8" s="333" customFormat="1">
      <c r="B9" s="254" t="s">
        <v>329</v>
      </c>
      <c r="C9" s="254">
        <v>877.4</v>
      </c>
      <c r="D9" s="259">
        <f t="shared" si="0"/>
        <v>6.2745243869037348E-3</v>
      </c>
      <c r="E9" s="331">
        <f>D9*VLOOKUP("EU (Commission and Council)",'AGGREGATES by country'!B:F,5,0)</f>
        <v>7.3662916302249845E-2</v>
      </c>
      <c r="F9" s="332"/>
      <c r="G9" s="332"/>
      <c r="H9" s="332"/>
    </row>
    <row r="10" spans="2:8">
      <c r="B10" s="254" t="s">
        <v>464</v>
      </c>
      <c r="C10" s="254">
        <v>585.79999999999995</v>
      </c>
      <c r="D10" s="259">
        <f t="shared" si="0"/>
        <v>4.1892140253569727E-3</v>
      </c>
      <c r="E10" s="331">
        <f>D10*VLOOKUP("EU (Commission and Council)",'AGGREGATES by country'!B:F,5,0)</f>
        <v>4.9181372657690861E-2</v>
      </c>
      <c r="F10" s="281"/>
      <c r="G10" s="281"/>
      <c r="H10" s="281"/>
    </row>
    <row r="11" spans="2:8">
      <c r="B11" s="254" t="s">
        <v>490</v>
      </c>
      <c r="C11" s="254">
        <v>219.3</v>
      </c>
      <c r="D11" s="259">
        <f t="shared" si="0"/>
        <v>1.5682735332208677E-3</v>
      </c>
      <c r="E11" s="331">
        <f>D11*VLOOKUP("EU (Commission and Council)",'AGGREGATES by country'!B:F,5,0)</f>
        <v>1.8411531280012987E-2</v>
      </c>
      <c r="F11" s="281"/>
      <c r="G11" s="281"/>
      <c r="H11" s="281"/>
    </row>
    <row r="12" spans="2:8">
      <c r="B12" s="254" t="s">
        <v>503</v>
      </c>
      <c r="C12" s="254">
        <v>2052.3000000000002</v>
      </c>
      <c r="D12" s="259">
        <f t="shared" si="0"/>
        <v>1.467655162895206E-2</v>
      </c>
      <c r="E12" s="331">
        <f>D12*VLOOKUP("EU (Commission and Council)",'AGGREGATES by country'!B:F,5,0)</f>
        <v>0.17230271612389719</v>
      </c>
      <c r="F12" s="281"/>
      <c r="G12" s="281"/>
      <c r="H12" s="281"/>
    </row>
    <row r="13" spans="2:8">
      <c r="B13" s="254" t="s">
        <v>618</v>
      </c>
      <c r="C13" s="254">
        <v>3550.1</v>
      </c>
      <c r="D13" s="259">
        <f t="shared" si="0"/>
        <v>2.5387723986718656E-2</v>
      </c>
      <c r="E13" s="331">
        <f>D13*VLOOKUP("EU (Commission and Council)",'AGGREGATES by country'!B:F,5,0)</f>
        <v>0.29805187960407703</v>
      </c>
      <c r="F13" s="281"/>
      <c r="G13" s="281"/>
      <c r="H13" s="281"/>
    </row>
    <row r="14" spans="2:8">
      <c r="B14" s="254" t="s">
        <v>666</v>
      </c>
      <c r="C14" s="254">
        <v>278.3</v>
      </c>
      <c r="D14" s="259">
        <f t="shared" si="0"/>
        <v>1.9901984691991221E-3</v>
      </c>
      <c r="E14" s="331">
        <f>D14*VLOOKUP("EU (Commission and Council)",'AGGREGATES by country'!B:F,5,0)</f>
        <v>2.3364930028397693E-2</v>
      </c>
      <c r="F14" s="281"/>
      <c r="G14" s="281"/>
      <c r="H14" s="281"/>
    </row>
    <row r="15" spans="2:8">
      <c r="B15" s="254" t="s">
        <v>701</v>
      </c>
      <c r="C15" s="254">
        <v>2380.1999999999998</v>
      </c>
      <c r="D15" s="259">
        <f t="shared" si="0"/>
        <v>1.7021453095176966E-2</v>
      </c>
      <c r="E15" s="331">
        <f>D15*VLOOKUP("EU (Commission and Council)",'AGGREGATES by country'!B:F,5,0)</f>
        <v>0.19983185933737757</v>
      </c>
      <c r="F15" s="281"/>
      <c r="G15" s="281"/>
      <c r="H15" s="281"/>
    </row>
    <row r="16" spans="2:8">
      <c r="B16" s="254" t="s">
        <v>763</v>
      </c>
      <c r="C16" s="254">
        <v>23689.4</v>
      </c>
      <c r="D16" s="259">
        <f t="shared" si="0"/>
        <v>0.16940929793836032</v>
      </c>
      <c r="E16" s="331">
        <f>D16*VLOOKUP("EU (Commission and Council)",'AGGREGATES by country'!B:F,5,0)</f>
        <v>1.9888651577963501</v>
      </c>
      <c r="F16" s="281"/>
      <c r="G16" s="281"/>
      <c r="H16" s="281"/>
    </row>
    <row r="17" spans="2:8">
      <c r="B17" s="254" t="s">
        <v>840</v>
      </c>
      <c r="C17" s="254">
        <v>28064.3</v>
      </c>
      <c r="D17" s="259">
        <f t="shared" si="0"/>
        <v>0.20069538950465293</v>
      </c>
      <c r="E17" s="331">
        <f>D17*VLOOKUP("EU (Commission and Council)",'AGGREGATES by country'!B:F,5,0)</f>
        <v>2.3561638727846255</v>
      </c>
      <c r="F17" s="281"/>
      <c r="G17" s="281"/>
      <c r="H17" s="281"/>
    </row>
    <row r="18" spans="2:8">
      <c r="B18" s="254" t="s">
        <v>926</v>
      </c>
      <c r="C18" s="254">
        <v>2009.2</v>
      </c>
      <c r="D18" s="259">
        <f t="shared" si="0"/>
        <v>1.4368331887584893E-2</v>
      </c>
      <c r="E18" s="331">
        <f>D18*VLOOKUP("EU (Commission and Council)",'AGGREGATES by country'!B:F,5,0)</f>
        <v>0.16868421636024664</v>
      </c>
      <c r="F18" s="281"/>
      <c r="G18" s="281"/>
      <c r="H18" s="281"/>
    </row>
    <row r="19" spans="2:8">
      <c r="B19" s="254" t="s">
        <v>963</v>
      </c>
      <c r="C19" s="254">
        <v>1654.5</v>
      </c>
      <c r="D19" s="259">
        <f t="shared" si="0"/>
        <v>1.1831776382644437E-2</v>
      </c>
      <c r="E19" s="331">
        <f>D19*VLOOKUP("EU (Commission and Council)",'AGGREGATES by country'!B:F,5,0)</f>
        <v>0.13890505473224571</v>
      </c>
      <c r="F19" s="281"/>
      <c r="G19" s="281"/>
      <c r="H19" s="281"/>
    </row>
    <row r="20" spans="2:8">
      <c r="B20" s="254" t="s">
        <v>1006</v>
      </c>
      <c r="C20" s="254">
        <v>2819.5</v>
      </c>
      <c r="D20" s="259">
        <f t="shared" si="0"/>
        <v>2.016300605068963E-2</v>
      </c>
      <c r="E20" s="331">
        <f>D20*VLOOKUP("EU (Commission and Council)",'AGGREGATES by country'!B:F,5,0)</f>
        <v>0.23671369103509626</v>
      </c>
      <c r="F20" s="281"/>
      <c r="G20" s="281"/>
      <c r="H20" s="281"/>
    </row>
    <row r="21" spans="2:8">
      <c r="B21" s="254" t="s">
        <v>1036</v>
      </c>
      <c r="C21" s="254">
        <v>17075.400000000001</v>
      </c>
      <c r="D21" s="259">
        <f t="shared" si="0"/>
        <v>0.12211079748818789</v>
      </c>
      <c r="E21" s="331">
        <f>D21*VLOOKUP("EU (Commission and Council)",'AGGREGATES by country'!B:F,5,0)</f>
        <v>1.4335807625113257</v>
      </c>
      <c r="F21" s="281"/>
      <c r="G21" s="281"/>
      <c r="H21" s="281"/>
    </row>
    <row r="22" spans="2:8">
      <c r="B22" s="254" t="s">
        <v>1119</v>
      </c>
      <c r="C22" s="254">
        <v>285.10000000000002</v>
      </c>
      <c r="D22" s="259">
        <f t="shared" si="0"/>
        <v>2.0388271058881411E-3</v>
      </c>
      <c r="E22" s="331">
        <f>D22*VLOOKUP("EU (Commission and Council)",'AGGREGATES by country'!B:F,5,0)</f>
        <v>2.3935830223126776E-2</v>
      </c>
      <c r="F22" s="281"/>
      <c r="G22" s="281"/>
      <c r="H22" s="281"/>
    </row>
    <row r="23" spans="2:8">
      <c r="B23" s="254" t="s">
        <v>1147</v>
      </c>
      <c r="C23" s="254">
        <v>456.5</v>
      </c>
      <c r="D23" s="259">
        <f t="shared" si="0"/>
        <v>3.2645548012554767E-3</v>
      </c>
      <c r="E23" s="331">
        <f>D23*VLOOKUP("EU (Commission and Council)",'AGGREGATES by country'!B:F,5,0)</f>
        <v>3.8325873366739295E-2</v>
      </c>
      <c r="F23" s="281"/>
      <c r="G23" s="281"/>
      <c r="H23" s="281"/>
    </row>
    <row r="24" spans="2:8">
      <c r="B24" s="254" t="s">
        <v>1187</v>
      </c>
      <c r="C24" s="254">
        <v>447.5</v>
      </c>
      <c r="D24" s="259">
        <f t="shared" si="0"/>
        <v>3.2001933703435393E-3</v>
      </c>
      <c r="E24" s="331">
        <f>D24*VLOOKUP("EU (Commission and Council)",'AGGREGATES by country'!B:F,5,0)</f>
        <v>3.7570270167833153E-2</v>
      </c>
      <c r="F24" s="281"/>
      <c r="G24" s="281"/>
      <c r="H24" s="281"/>
    </row>
    <row r="25" spans="2:8">
      <c r="B25" s="254" t="s">
        <v>1207</v>
      </c>
      <c r="C25" s="254">
        <v>116.5</v>
      </c>
      <c r="D25" s="259">
        <f t="shared" si="0"/>
        <v>8.331229668045192E-4</v>
      </c>
      <c r="E25" s="331">
        <f>D25*VLOOKUP("EU (Commission and Council)",'AGGREGATES by country'!B:F,5,0)</f>
        <v>9.7808636302850558E-3</v>
      </c>
      <c r="F25" s="281"/>
      <c r="G25" s="281"/>
      <c r="H25" s="281"/>
    </row>
    <row r="26" spans="2:8">
      <c r="B26" s="254" t="s">
        <v>1215</v>
      </c>
      <c r="C26" s="254">
        <v>11040.3</v>
      </c>
      <c r="D26" s="259">
        <f t="shared" si="0"/>
        <v>7.8952167299673248E-2</v>
      </c>
      <c r="E26" s="331">
        <f>D26*VLOOKUP("EU (Commission and Council)",'AGGREGATES by country'!B:F,5,0)</f>
        <v>0.92689844409816391</v>
      </c>
      <c r="F26" s="281"/>
      <c r="G26" s="281"/>
      <c r="H26" s="281"/>
    </row>
    <row r="27" spans="2:8">
      <c r="B27" s="254" t="s">
        <v>1364</v>
      </c>
      <c r="C27" s="254">
        <v>5845.8</v>
      </c>
      <c r="D27" s="259">
        <f t="shared" si="0"/>
        <v>4.1804894758333551E-2</v>
      </c>
      <c r="E27" s="331">
        <f>D27*VLOOKUP("EU (Commission and Council)",'AGGREGATES by country'!B:F,5,0)</f>
        <v>0.49078946446283589</v>
      </c>
      <c r="F27" s="281"/>
      <c r="G27" s="281"/>
      <c r="H27" s="281"/>
    </row>
    <row r="28" spans="2:8">
      <c r="B28" s="254" t="s">
        <v>1408</v>
      </c>
      <c r="C28" s="254">
        <v>2024.1</v>
      </c>
      <c r="D28" s="259">
        <f t="shared" si="0"/>
        <v>1.4474885812094655E-2</v>
      </c>
      <c r="E28" s="331">
        <f>D28*VLOOKUP("EU (Commission and Council)",'AGGREGATES by country'!B:F,5,0)</f>
        <v>0.16993515943399126</v>
      </c>
      <c r="F28" s="281"/>
      <c r="G28" s="281"/>
      <c r="H28" s="281"/>
    </row>
    <row r="29" spans="2:8">
      <c r="B29" s="254" t="s">
        <v>1478</v>
      </c>
      <c r="C29" s="254">
        <v>2318.3000000000002</v>
      </c>
      <c r="D29" s="259">
        <f t="shared" si="0"/>
        <v>1.6578789475904868E-2</v>
      </c>
      <c r="E29" s="331">
        <f>D29*VLOOKUP("EU (Commission and Council)",'AGGREGATES by country'!B:F,5,0)</f>
        <v>0.19463498844712315</v>
      </c>
      <c r="F29" s="281"/>
      <c r="G29" s="281"/>
      <c r="H29" s="281"/>
    </row>
    <row r="30" spans="2:8">
      <c r="B30" s="254" t="s">
        <v>1507</v>
      </c>
      <c r="C30" s="254">
        <v>1298.5</v>
      </c>
      <c r="D30" s="259">
        <f t="shared" si="0"/>
        <v>9.2859242265722584E-3</v>
      </c>
      <c r="E30" s="331">
        <f>D30*VLOOKUP("EU (Commission and Council)",'AGGREGATES by country'!B:F,5,0)</f>
        <v>0.10901675041995831</v>
      </c>
      <c r="F30" s="281"/>
      <c r="G30" s="281"/>
      <c r="H30" s="281"/>
    </row>
    <row r="31" spans="2:8">
      <c r="B31" s="254" t="s">
        <v>1546</v>
      </c>
      <c r="C31" s="254">
        <v>503.2</v>
      </c>
      <c r="D31" s="259">
        <f t="shared" si="0"/>
        <v>3.5985191149874168E-3</v>
      </c>
      <c r="E31" s="331">
        <f>D31*VLOOKUP("EU (Commission and Council)",'AGGREGATES by country'!B:F,5,0)</f>
        <v>4.2246614409952275E-2</v>
      </c>
      <c r="F31" s="281"/>
      <c r="G31" s="281"/>
      <c r="H31" s="281"/>
    </row>
    <row r="32" spans="2:8">
      <c r="B32" s="254" t="s">
        <v>1587</v>
      </c>
      <c r="C32" s="254">
        <v>16597.599999999999</v>
      </c>
      <c r="D32" s="259">
        <f t="shared" si="0"/>
        <v>0.11869392063377414</v>
      </c>
      <c r="E32" s="331">
        <f>D32*VLOOKUP("EU (Commission and Council)",'AGGREGATES by country'!B:F,5,0)</f>
        <v>1.3934666282405084</v>
      </c>
      <c r="F32" s="281"/>
      <c r="G32" s="281"/>
      <c r="H32" s="281"/>
    </row>
    <row r="33" spans="2:8">
      <c r="B33" s="254" t="s">
        <v>1645</v>
      </c>
      <c r="C33" s="254">
        <v>4667.8</v>
      </c>
      <c r="D33" s="259">
        <f t="shared" si="0"/>
        <v>3.3380698578971114E-2</v>
      </c>
      <c r="E33" s="331">
        <f>D33*VLOOKUP("EU (Commission and Council)",'AGGREGATES by country'!B:F,5,0)</f>
        <v>0.39188940131712091</v>
      </c>
      <c r="F33" s="281"/>
      <c r="G33" s="281"/>
      <c r="H33" s="281"/>
    </row>
    <row r="34" spans="2:8">
      <c r="B34" s="262" t="s">
        <v>2799</v>
      </c>
      <c r="C34" s="264">
        <f>SUM(C7:C33)</f>
        <v>139835.30000000002</v>
      </c>
      <c r="D34" s="265">
        <f t="shared" si="0"/>
        <v>1</v>
      </c>
      <c r="E34" s="331">
        <f>D34*VLOOKUP("EU (Commission and Council)",'AGGREGATES by country'!B:F,5,0)</f>
        <v>11.74</v>
      </c>
      <c r="F34" s="281"/>
      <c r="G34" s="281"/>
      <c r="H34" s="281"/>
    </row>
    <row r="35" spans="2:8">
      <c r="B35" s="245" t="s">
        <v>1837</v>
      </c>
      <c r="C35" s="254">
        <v>0</v>
      </c>
      <c r="D35" s="259">
        <f t="shared" si="0"/>
        <v>0</v>
      </c>
      <c r="E35" s="331">
        <f>D35*VLOOKUP("EU (Commission and Council)",'AGGREGATES by country'!B:F,5,0)</f>
        <v>0</v>
      </c>
      <c r="F35" s="281"/>
      <c r="G35" s="281"/>
      <c r="H35" s="281"/>
    </row>
    <row r="36" spans="2:8">
      <c r="B36" s="245" t="s">
        <v>350</v>
      </c>
      <c r="C36" s="245">
        <v>0</v>
      </c>
      <c r="D36" s="259">
        <f t="shared" si="0"/>
        <v>0</v>
      </c>
      <c r="E36" s="331">
        <f>D36*VLOOKUP("EU (Commission and Council)",'AGGREGATES by country'!B:F,5,0)</f>
        <v>0</v>
      </c>
      <c r="F36" s="281"/>
      <c r="G36" s="281"/>
      <c r="H36" s="281"/>
    </row>
    <row r="37" spans="2:8">
      <c r="B37" s="245" t="s">
        <v>1741</v>
      </c>
      <c r="C37" s="245">
        <v>0</v>
      </c>
      <c r="D37" s="259">
        <f t="shared" si="0"/>
        <v>0</v>
      </c>
      <c r="E37" s="331">
        <f>D37*VLOOKUP("EU (Commission and Council)",'AGGREGATES by country'!B:F,5,0)</f>
        <v>0</v>
      </c>
      <c r="F37" s="281"/>
      <c r="G37" s="281"/>
      <c r="H37" s="281"/>
    </row>
    <row r="38" spans="2:8">
      <c r="B38" s="245" t="s">
        <v>1080</v>
      </c>
      <c r="C38" s="245">
        <v>0</v>
      </c>
      <c r="D38" s="259">
        <f t="shared" si="0"/>
        <v>0</v>
      </c>
      <c r="E38" s="331">
        <f>D38*VLOOKUP("EU (Commission and Council)",'AGGREGATES by country'!B:F,5,0)</f>
        <v>0</v>
      </c>
      <c r="F38" s="281"/>
      <c r="G38" s="281"/>
      <c r="H38" s="281"/>
    </row>
    <row r="39" spans="2:8">
      <c r="B39" s="245" t="s">
        <v>2120</v>
      </c>
      <c r="C39" s="245">
        <v>0</v>
      </c>
      <c r="D39" s="259">
        <f t="shared" si="0"/>
        <v>0</v>
      </c>
      <c r="E39" s="331">
        <f>D39*VLOOKUP("EU (Commission and Council)",'AGGREGATES by country'!B:F,5,0)</f>
        <v>0</v>
      </c>
      <c r="F39" s="281"/>
      <c r="G39" s="281"/>
      <c r="H39" s="281"/>
    </row>
    <row r="40" spans="2:8">
      <c r="B40" s="281" t="s">
        <v>1702</v>
      </c>
      <c r="C40" s="245">
        <v>0</v>
      </c>
      <c r="D40" s="259">
        <f t="shared" si="0"/>
        <v>0</v>
      </c>
      <c r="E40" s="331">
        <f>D40*VLOOKUP("EU (Commission and Council)",'AGGREGATES by country'!B:F,5,0)</f>
        <v>0</v>
      </c>
      <c r="F40" s="281"/>
      <c r="G40" s="281"/>
      <c r="H40" s="281"/>
    </row>
    <row r="41" spans="2:8">
      <c r="B41" s="281" t="s">
        <v>1694</v>
      </c>
      <c r="C41" s="245">
        <v>0</v>
      </c>
      <c r="D41" s="259">
        <f t="shared" si="0"/>
        <v>0</v>
      </c>
      <c r="E41" s="331">
        <f>D41*VLOOKUP("EU (Commission and Council)",'AGGREGATES by country'!B:F,5,0)</f>
        <v>0</v>
      </c>
      <c r="F41" s="281"/>
      <c r="G41" s="281"/>
      <c r="H41" s="281"/>
    </row>
    <row r="42" spans="2:8">
      <c r="B42" s="281" t="s">
        <v>1306</v>
      </c>
      <c r="C42" s="245">
        <v>0</v>
      </c>
      <c r="D42" s="259">
        <f t="shared" si="0"/>
        <v>0</v>
      </c>
      <c r="E42" s="331">
        <f>D42*VLOOKUP("EU (Commission and Council)",'AGGREGATES by country'!B:F,5,0)</f>
        <v>0</v>
      </c>
      <c r="F42" s="281"/>
      <c r="G42" s="281"/>
      <c r="H42" s="281"/>
    </row>
    <row r="43" spans="2:8">
      <c r="B43" s="281" t="s">
        <v>1273</v>
      </c>
      <c r="C43" s="245">
        <v>0</v>
      </c>
      <c r="D43" s="259">
        <f t="shared" si="0"/>
        <v>0</v>
      </c>
      <c r="E43" s="331">
        <f>D43*VLOOKUP("EU (Commission and Council)",'AGGREGATES by country'!B:F,5,0)</f>
        <v>0</v>
      </c>
      <c r="F43" s="281"/>
      <c r="G43" s="281"/>
      <c r="H43" s="281"/>
    </row>
    <row r="44" spans="2:8">
      <c r="B44" s="281" t="s">
        <v>189</v>
      </c>
      <c r="C44" s="245">
        <v>0</v>
      </c>
      <c r="D44" s="259">
        <f t="shared" si="0"/>
        <v>0</v>
      </c>
      <c r="E44" s="331">
        <f>D44*VLOOKUP("EU (Commission and Council)",'AGGREGATES by country'!B:F,5,0)</f>
        <v>0</v>
      </c>
      <c r="F44" s="281"/>
      <c r="G44" s="281"/>
      <c r="H44" s="281"/>
    </row>
    <row r="45" spans="2:8">
      <c r="B45" s="281" t="s">
        <v>1449</v>
      </c>
      <c r="C45" s="245">
        <v>0</v>
      </c>
      <c r="D45" s="259">
        <f t="shared" si="0"/>
        <v>0</v>
      </c>
      <c r="E45" s="331">
        <f>D45*VLOOKUP("EU (Commission and Council)",'AGGREGATES by country'!B:F,5,0)</f>
        <v>0</v>
      </c>
      <c r="F45" s="281"/>
      <c r="G45" s="281"/>
      <c r="H45" s="281"/>
    </row>
    <row r="46" spans="2:8">
      <c r="B46" s="279" t="s">
        <v>2015</v>
      </c>
      <c r="C46" s="334">
        <v>0</v>
      </c>
      <c r="D46" s="259">
        <f t="shared" si="0"/>
        <v>0</v>
      </c>
      <c r="E46" s="331">
        <f>D46*VLOOKUP("EU (Commission and Council)",'AGGREGATES by country'!B:F,5,0)</f>
        <v>0</v>
      </c>
      <c r="F46" s="281"/>
      <c r="G46" s="281"/>
      <c r="H46" s="281"/>
    </row>
    <row r="47" spans="2:8">
      <c r="B47" s="279" t="s">
        <v>456</v>
      </c>
      <c r="C47" s="334">
        <v>0</v>
      </c>
      <c r="D47" s="491">
        <v>0</v>
      </c>
      <c r="E47" s="492">
        <v>0</v>
      </c>
      <c r="F47" s="281"/>
      <c r="G47" s="281"/>
      <c r="H47" s="281"/>
    </row>
    <row r="48" spans="2:8">
      <c r="B48" s="279" t="s">
        <v>1721</v>
      </c>
      <c r="C48" s="334">
        <v>0</v>
      </c>
      <c r="D48" s="491">
        <v>0</v>
      </c>
      <c r="E48" s="492">
        <v>0</v>
      </c>
      <c r="F48" s="281"/>
      <c r="G48" s="281"/>
      <c r="H48" s="281"/>
    </row>
    <row r="49" spans="2:5">
      <c r="B49" s="279" t="s">
        <v>998</v>
      </c>
      <c r="C49" s="334">
        <v>0</v>
      </c>
      <c r="D49" s="491">
        <v>0</v>
      </c>
      <c r="E49" s="492">
        <v>0</v>
      </c>
    </row>
  </sheetData>
  <hyperlinks>
    <hyperlink ref="C4" r:id="rId1" xr:uid="{00000000-0004-0000-1500-00000000000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B2:I49"/>
  <sheetViews>
    <sheetView showGridLines="0" workbookViewId="0">
      <selection activeCell="G48" sqref="G48"/>
    </sheetView>
  </sheetViews>
  <sheetFormatPr defaultColWidth="9" defaultRowHeight="15.75"/>
  <cols>
    <col min="1" max="1" width="9" style="336"/>
    <col min="2" max="2" width="29.375" style="336" bestFit="1" customWidth="1"/>
    <col min="3" max="3" width="18.625" style="339" customWidth="1"/>
    <col min="4" max="4" width="19.625" style="339" customWidth="1"/>
    <col min="5" max="5" width="28.125" style="336" bestFit="1" customWidth="1"/>
    <col min="6" max="6" width="12.375" style="336" customWidth="1"/>
    <col min="7" max="7" width="23.125" style="336" customWidth="1"/>
    <col min="8" max="16384" width="9" style="336"/>
  </cols>
  <sheetData>
    <row r="2" spans="2:9">
      <c r="B2" s="249" t="s">
        <v>2800</v>
      </c>
      <c r="C2" s="335"/>
      <c r="D2" s="335"/>
      <c r="E2" s="293"/>
      <c r="F2" s="293"/>
      <c r="G2" s="293"/>
      <c r="H2" s="293"/>
      <c r="I2" s="293"/>
    </row>
    <row r="3" spans="2:9">
      <c r="B3" s="293"/>
      <c r="C3" s="337"/>
      <c r="D3" s="337"/>
      <c r="E3" s="293"/>
      <c r="F3" s="293"/>
      <c r="G3" s="293"/>
      <c r="H3" s="293"/>
      <c r="I3" s="293"/>
    </row>
    <row r="4" spans="2:9">
      <c r="B4" s="245" t="s">
        <v>2801</v>
      </c>
      <c r="C4" s="338" t="s">
        <v>2802</v>
      </c>
      <c r="F4" s="293"/>
      <c r="G4" s="293"/>
      <c r="H4" s="293"/>
      <c r="I4" s="293"/>
    </row>
    <row r="5" spans="2:9" ht="15.75" customHeight="1">
      <c r="B5" s="253"/>
      <c r="C5" s="340"/>
      <c r="D5" s="341"/>
      <c r="E5" s="245"/>
      <c r="F5" s="342"/>
      <c r="G5" s="342"/>
      <c r="H5" s="342"/>
      <c r="I5" s="342"/>
    </row>
    <row r="6" spans="2:9" ht="14.25" customHeight="1">
      <c r="B6" s="343" t="s">
        <v>2156</v>
      </c>
      <c r="C6" s="344" t="s">
        <v>2803</v>
      </c>
      <c r="D6" s="345" t="s">
        <v>2804</v>
      </c>
      <c r="E6" s="343" t="s">
        <v>2805</v>
      </c>
      <c r="F6" s="346" t="s">
        <v>2806</v>
      </c>
      <c r="G6" s="347" t="s">
        <v>2166</v>
      </c>
      <c r="H6" s="342"/>
      <c r="I6" s="342"/>
    </row>
    <row r="7" spans="2:9">
      <c r="B7" s="254" t="s">
        <v>257</v>
      </c>
      <c r="C7" s="348">
        <v>431177954655.48126</v>
      </c>
      <c r="D7" s="349">
        <f>C7*VLOOKUP("USD",'Currency Conversion'!B:C,2,0)</f>
        <v>455323920116.18823</v>
      </c>
      <c r="E7" s="260">
        <f>D7/1000000000</f>
        <v>455.32392011618822</v>
      </c>
      <c r="F7" s="342">
        <f>E7/$E$34</f>
        <v>2.8122169019250343E-2</v>
      </c>
      <c r="G7" s="346">
        <f>F7*VLOOKUP("European Peace Facility",'AGGREGATES by group'!B:F,5,0)</f>
        <v>5.6244338038500687E-2</v>
      </c>
      <c r="H7" s="342"/>
      <c r="I7" s="342"/>
    </row>
    <row r="8" spans="2:9">
      <c r="B8" s="254" t="s">
        <v>296</v>
      </c>
      <c r="C8" s="348">
        <v>528771099613.82056</v>
      </c>
      <c r="D8" s="349">
        <f>C8*VLOOKUP("USD",'Currency Conversion'!B:C,2,0)</f>
        <v>558382281192.19458</v>
      </c>
      <c r="E8" s="260">
        <f t="shared" ref="E8:E45" si="0">D8/1000000000</f>
        <v>558.38228119219457</v>
      </c>
      <c r="F8" s="342">
        <f t="shared" ref="F8:F45" si="1">E8/$E$34</f>
        <v>3.4487362063109803E-2</v>
      </c>
      <c r="G8" s="346">
        <f>F8*VLOOKUP("European Peace Facility",'AGGREGATES by group'!B:F,5,0)</f>
        <v>6.8974724126219605E-2</v>
      </c>
      <c r="H8" s="342"/>
      <c r="I8" s="342"/>
    </row>
    <row r="9" spans="2:9">
      <c r="B9" s="254" t="s">
        <v>329</v>
      </c>
      <c r="C9" s="348">
        <v>66791503467.314651</v>
      </c>
      <c r="D9" s="349">
        <f>C9*VLOOKUP("USD",'Currency Conversion'!B:C,2,0)</f>
        <v>70531827661.484268</v>
      </c>
      <c r="E9" s="260">
        <f t="shared" si="0"/>
        <v>70.531827661484272</v>
      </c>
      <c r="F9" s="342">
        <f t="shared" si="1"/>
        <v>4.3562569219441662E-3</v>
      </c>
      <c r="G9" s="346">
        <f>F9*VLOOKUP("European Peace Facility",'AGGREGATES by group'!B:F,5,0)</f>
        <v>8.7125138438883323E-3</v>
      </c>
      <c r="H9" s="293"/>
      <c r="I9" s="293"/>
    </row>
    <row r="10" spans="2:9">
      <c r="B10" s="254" t="s">
        <v>464</v>
      </c>
      <c r="C10" s="348">
        <v>58800071968.209152</v>
      </c>
      <c r="D10" s="349">
        <f>C10*VLOOKUP("USD",'Currency Conversion'!B:C,2,0)</f>
        <v>62092875998.428871</v>
      </c>
      <c r="E10" s="260">
        <f t="shared" si="0"/>
        <v>62.092875998428873</v>
      </c>
      <c r="F10" s="342">
        <f t="shared" si="1"/>
        <v>3.8350419922449559E-3</v>
      </c>
      <c r="G10" s="346">
        <f>F10*VLOOKUP("European Peace Facility",'AGGREGATES by group'!B:F,5,0)</f>
        <v>7.6700839844899118E-3</v>
      </c>
      <c r="H10" s="293"/>
      <c r="I10" s="293"/>
    </row>
    <row r="11" spans="2:9">
      <c r="B11" s="254" t="s">
        <v>490</v>
      </c>
      <c r="C11" s="348">
        <v>23639615034.821491</v>
      </c>
      <c r="D11" s="349">
        <f>C11*VLOOKUP("USD",'Currency Conversion'!B:C,2,0)</f>
        <v>24963433476.771496</v>
      </c>
      <c r="E11" s="260">
        <f t="shared" si="0"/>
        <v>24.963433476771495</v>
      </c>
      <c r="F11" s="342">
        <f t="shared" si="1"/>
        <v>1.5418164179809384E-3</v>
      </c>
      <c r="G11" s="346">
        <f>F11*VLOOKUP("European Peace Facility",'AGGREGATES by group'!B:F,5,0)</f>
        <v>3.0836328359618768E-3</v>
      </c>
      <c r="H11" s="293"/>
      <c r="I11" s="293"/>
    </row>
    <row r="12" spans="2:9">
      <c r="B12" s="254" t="s">
        <v>503</v>
      </c>
      <c r="C12" s="348">
        <v>236140225083.77783</v>
      </c>
      <c r="D12" s="349">
        <f>C12*VLOOKUP("USD",'Currency Conversion'!B:C,2,0)</f>
        <v>249364077688.46939</v>
      </c>
      <c r="E12" s="260">
        <f t="shared" si="0"/>
        <v>249.36407768846939</v>
      </c>
      <c r="F12" s="342">
        <f t="shared" si="1"/>
        <v>1.5401472293164698E-2</v>
      </c>
      <c r="G12" s="346">
        <f>F12*VLOOKUP("European Peace Facility",'AGGREGATES by group'!B:F,5,0)</f>
        <v>3.0802944586329397E-2</v>
      </c>
      <c r="H12" s="293"/>
      <c r="I12" s="293"/>
    </row>
    <row r="13" spans="2:9">
      <c r="B13" s="254" t="s">
        <v>618</v>
      </c>
      <c r="C13" s="348">
        <v>367413962752.16309</v>
      </c>
      <c r="D13" s="349">
        <f>C13*VLOOKUP("USD",'Currency Conversion'!B:C,2,0)</f>
        <v>387989144666.28424</v>
      </c>
      <c r="E13" s="260">
        <f t="shared" si="0"/>
        <v>387.98914466628423</v>
      </c>
      <c r="F13" s="342">
        <f t="shared" si="1"/>
        <v>2.3963371617189266E-2</v>
      </c>
      <c r="G13" s="346">
        <f>F13*VLOOKUP("European Peace Facility",'AGGREGATES by group'!B:F,5,0)</f>
        <v>4.7926743234378531E-2</v>
      </c>
      <c r="H13" s="293"/>
      <c r="I13" s="293"/>
    </row>
    <row r="14" spans="2:9">
      <c r="B14" s="254" t="s">
        <v>666</v>
      </c>
      <c r="C14" s="435">
        <v>30879511970.059299</v>
      </c>
      <c r="D14" s="349">
        <f>C14*VLOOKUP("USD",'Currency Conversion'!B:C,2,0)</f>
        <v>32608764640.382622</v>
      </c>
      <c r="E14" s="260">
        <f t="shared" si="0"/>
        <v>32.608764640382624</v>
      </c>
      <c r="F14" s="342">
        <f t="shared" si="1"/>
        <v>2.0140149687101643E-3</v>
      </c>
      <c r="G14" s="346">
        <f>F14*VLOOKUP("European Peace Facility",'AGGREGATES by group'!B:F,5,0)</f>
        <v>4.0280299374203287E-3</v>
      </c>
      <c r="H14" s="293"/>
      <c r="I14" s="293"/>
    </row>
    <row r="15" spans="2:9">
      <c r="B15" s="254" t="s">
        <v>701</v>
      </c>
      <c r="C15" s="348">
        <v>275386048317.31531</v>
      </c>
      <c r="D15" s="349">
        <f>C15*VLOOKUP("USD",'Currency Conversion'!B:C,2,0)</f>
        <v>290807667023.08496</v>
      </c>
      <c r="E15" s="260">
        <f t="shared" si="0"/>
        <v>290.80766702308495</v>
      </c>
      <c r="F15" s="342">
        <f t="shared" si="1"/>
        <v>1.7961152495634743E-2</v>
      </c>
      <c r="G15" s="346">
        <f>F15*VLOOKUP("European Peace Facility",'AGGREGATES by group'!B:F,5,0)</f>
        <v>3.5922304991269485E-2</v>
      </c>
      <c r="H15" s="293"/>
      <c r="I15" s="293"/>
    </row>
    <row r="16" spans="2:9">
      <c r="B16" s="254" t="s">
        <v>763</v>
      </c>
      <c r="C16" s="348">
        <v>2661229723049.147</v>
      </c>
      <c r="D16" s="349">
        <f>C16*VLOOKUP("USD",'Currency Conversion'!B:C,2,0)</f>
        <v>2810258587539.8994</v>
      </c>
      <c r="E16" s="260">
        <f t="shared" si="0"/>
        <v>2810.2585875398995</v>
      </c>
      <c r="F16" s="342">
        <f t="shared" si="1"/>
        <v>0.17356998720038694</v>
      </c>
      <c r="G16" s="346">
        <f>F16*VLOOKUP("European Peace Facility",'AGGREGATES by group'!B:F,5,0)</f>
        <v>0.34713997440077388</v>
      </c>
      <c r="H16" s="293"/>
      <c r="I16" s="293"/>
    </row>
    <row r="17" spans="2:9">
      <c r="B17" s="254" t="s">
        <v>840</v>
      </c>
      <c r="C17" s="348">
        <v>3951936643951.478</v>
      </c>
      <c r="D17" s="349">
        <f>C17*VLOOKUP("USD",'Currency Conversion'!B:C,2,0)</f>
        <v>4173245096012.7612</v>
      </c>
      <c r="E17" s="260">
        <f t="shared" si="0"/>
        <v>4173.2450960127617</v>
      </c>
      <c r="F17" s="342">
        <f t="shared" si="1"/>
        <v>0.25775211616134891</v>
      </c>
      <c r="G17" s="346">
        <f>F17*VLOOKUP("European Peace Facility",'AGGREGATES by group'!B:F,5,0)</f>
        <v>0.51550423232269782</v>
      </c>
      <c r="H17" s="293"/>
      <c r="I17" s="293"/>
    </row>
    <row r="18" spans="2:9">
      <c r="B18" s="254" t="s">
        <v>926</v>
      </c>
      <c r="C18" s="348">
        <v>192106587090.27692</v>
      </c>
      <c r="D18" s="349">
        <f>C18*VLOOKUP("USD",'Currency Conversion'!B:C,2,0)</f>
        <v>202864555967.33243</v>
      </c>
      <c r="E18" s="260">
        <f t="shared" si="0"/>
        <v>202.86455596733242</v>
      </c>
      <c r="F18" s="342">
        <f t="shared" si="1"/>
        <v>1.2529522563788677E-2</v>
      </c>
      <c r="G18" s="346">
        <f>F18*VLOOKUP("European Peace Facility",'AGGREGATES by group'!B:F,5,0)</f>
        <v>2.5059045127577353E-2</v>
      </c>
      <c r="H18" s="293"/>
      <c r="I18" s="293"/>
    </row>
    <row r="19" spans="2:9">
      <c r="B19" s="254" t="s">
        <v>963</v>
      </c>
      <c r="C19" s="348">
        <v>154926012804.36594</v>
      </c>
      <c r="D19" s="349">
        <f>C19*VLOOKUP("USD",'Currency Conversion'!B:C,2,0)</f>
        <v>163601869521.41043</v>
      </c>
      <c r="E19" s="260">
        <f t="shared" si="0"/>
        <v>163.60186952141044</v>
      </c>
      <c r="F19" s="342">
        <f t="shared" si="1"/>
        <v>1.0104541455613437E-2</v>
      </c>
      <c r="G19" s="346">
        <f>F19*VLOOKUP("European Peace Facility",'AGGREGATES by group'!B:F,5,0)</f>
        <v>2.0209082911226875E-2</v>
      </c>
      <c r="H19" s="293"/>
      <c r="I19" s="293"/>
    </row>
    <row r="20" spans="2:9">
      <c r="B20" s="254" t="s">
        <v>1006</v>
      </c>
      <c r="C20" s="348">
        <v>327793081263.3335</v>
      </c>
      <c r="D20" s="349">
        <f>C20*VLOOKUP("USD",'Currency Conversion'!B:C,2,0)</f>
        <v>346149493814.0802</v>
      </c>
      <c r="E20" s="260">
        <f t="shared" si="0"/>
        <v>346.14949381408019</v>
      </c>
      <c r="F20" s="342">
        <f t="shared" si="1"/>
        <v>2.1379229469173287E-2</v>
      </c>
      <c r="G20" s="346">
        <f>F20*VLOOKUP("European Peace Facility",'AGGREGATES by group'!B:F,5,0)</f>
        <v>4.2758458938346573E-2</v>
      </c>
      <c r="H20" s="293"/>
      <c r="I20" s="293"/>
    </row>
    <row r="21" spans="2:9">
      <c r="B21" s="254" t="s">
        <v>1036</v>
      </c>
      <c r="C21" s="348">
        <v>1923564827931.9722</v>
      </c>
      <c r="D21" s="349">
        <f>C21*VLOOKUP("USD",'Currency Conversion'!B:C,2,0)</f>
        <v>2031284458296.1626</v>
      </c>
      <c r="E21" s="260">
        <f t="shared" si="0"/>
        <v>2031.2844582961627</v>
      </c>
      <c r="F21" s="342">
        <f t="shared" si="1"/>
        <v>0.12545821192043743</v>
      </c>
      <c r="G21" s="346">
        <f>F21*VLOOKUP("European Peace Facility",'AGGREGATES by group'!B:F,5,0)</f>
        <v>0.25091642384087487</v>
      </c>
      <c r="H21" s="293"/>
      <c r="I21" s="293"/>
    </row>
    <row r="22" spans="2:9">
      <c r="B22" s="254" t="s">
        <v>1119</v>
      </c>
      <c r="C22" s="348">
        <v>34007378686.420918</v>
      </c>
      <c r="D22" s="349">
        <f>C22*VLOOKUP("USD",'Currency Conversion'!B:C,2,0)</f>
        <v>35911791892.860489</v>
      </c>
      <c r="E22" s="260">
        <f t="shared" si="0"/>
        <v>35.911791892860492</v>
      </c>
      <c r="F22" s="342">
        <f t="shared" si="1"/>
        <v>2.2180198245184642E-3</v>
      </c>
      <c r="G22" s="346">
        <f>F22*VLOOKUP("European Peace Facility",'AGGREGATES by group'!B:F,5,0)</f>
        <v>4.4360396490369285E-3</v>
      </c>
      <c r="H22" s="293"/>
      <c r="I22" s="293"/>
    </row>
    <row r="23" spans="2:9">
      <c r="B23" s="254" t="s">
        <v>1147</v>
      </c>
      <c r="C23" s="348">
        <v>54835297970.518791</v>
      </c>
      <c r="D23" s="349">
        <f>C23*VLOOKUP("USD",'Currency Conversion'!B:C,2,0)</f>
        <v>57906074656.867844</v>
      </c>
      <c r="E23" s="260">
        <f t="shared" si="0"/>
        <v>57.906074656867844</v>
      </c>
      <c r="F23" s="342">
        <f t="shared" si="1"/>
        <v>3.5764526017570625E-3</v>
      </c>
      <c r="G23" s="346">
        <f>F23*VLOOKUP("European Peace Facility",'AGGREGATES by group'!B:F,5,0)</f>
        <v>7.152905203514125E-3</v>
      </c>
      <c r="H23" s="293"/>
      <c r="I23" s="293"/>
    </row>
    <row r="24" spans="2:9">
      <c r="B24" s="254" t="s">
        <v>1187</v>
      </c>
      <c r="C24" s="348">
        <v>51133898272.304619</v>
      </c>
      <c r="D24" s="349">
        <f>C24*VLOOKUP("USD",'Currency Conversion'!B:C,2,0)</f>
        <v>53997396575.55368</v>
      </c>
      <c r="E24" s="260">
        <f t="shared" si="0"/>
        <v>53.99739657555368</v>
      </c>
      <c r="F24" s="342">
        <f t="shared" si="1"/>
        <v>3.3350409368120121E-3</v>
      </c>
      <c r="G24" s="346">
        <f>F24*VLOOKUP("European Peace Facility",'AGGREGATES by group'!B:F,5,0)</f>
        <v>6.6700818736240243E-3</v>
      </c>
      <c r="H24" s="293"/>
      <c r="I24" s="293"/>
    </row>
    <row r="25" spans="2:9">
      <c r="B25" s="254" t="s">
        <v>1207</v>
      </c>
      <c r="C25" s="348">
        <v>13325768037.903536</v>
      </c>
      <c r="D25" s="349">
        <f>C25*VLOOKUP("USD",'Currency Conversion'!B:C,2,0)</f>
        <v>14072011048.026134</v>
      </c>
      <c r="E25" s="260">
        <f t="shared" si="0"/>
        <v>14.072011048026134</v>
      </c>
      <c r="F25" s="342">
        <f t="shared" si="1"/>
        <v>8.691295485472551E-4</v>
      </c>
      <c r="G25" s="346">
        <f>F25*VLOOKUP("European Peace Facility",'AGGREGATES by group'!B:F,5,0)</f>
        <v>1.7382590970945102E-3</v>
      </c>
      <c r="H25" s="293"/>
      <c r="I25" s="293"/>
    </row>
    <row r="26" spans="2:9">
      <c r="B26" s="254" t="s">
        <v>1215</v>
      </c>
      <c r="C26" s="348">
        <v>890764508900.16296</v>
      </c>
      <c r="D26" s="349">
        <f>C26*VLOOKUP("USD",'Currency Conversion'!B:C,2,0)</f>
        <v>940647321398.57214</v>
      </c>
      <c r="E26" s="260">
        <f t="shared" si="0"/>
        <v>940.6473213985721</v>
      </c>
      <c r="F26" s="342">
        <f t="shared" si="1"/>
        <v>5.8097195844939435E-2</v>
      </c>
      <c r="G26" s="346">
        <f>F26*VLOOKUP("European Peace Facility",'AGGREGATES by group'!B:F,5,0)</f>
        <v>0.11619439168987887</v>
      </c>
      <c r="H26" s="293"/>
      <c r="I26" s="293"/>
    </row>
    <row r="27" spans="2:9">
      <c r="B27" s="254" t="s">
        <v>1364</v>
      </c>
      <c r="C27" s="348">
        <v>578462141100.15442</v>
      </c>
      <c r="D27" s="349">
        <f>C27*VLOOKUP("USD",'Currency Conversion'!B:C,2,0)</f>
        <v>610856021001.76306</v>
      </c>
      <c r="E27" s="260">
        <f t="shared" si="0"/>
        <v>610.85602100176311</v>
      </c>
      <c r="F27" s="342">
        <f t="shared" si="1"/>
        <v>3.7728297394643215E-2</v>
      </c>
      <c r="G27" s="346">
        <f>F27*VLOOKUP("European Peace Facility",'AGGREGATES by group'!B:F,5,0)</f>
        <v>7.545659478928643E-2</v>
      </c>
      <c r="H27" s="293"/>
      <c r="I27" s="293"/>
    </row>
    <row r="28" spans="2:9">
      <c r="B28" s="254" t="s">
        <v>1408</v>
      </c>
      <c r="C28" s="348">
        <v>224554737087.76804</v>
      </c>
      <c r="D28" s="349">
        <f>C28*VLOOKUP("USD",'Currency Conversion'!B:C,2,0)</f>
        <v>237129802364.68304</v>
      </c>
      <c r="E28" s="260">
        <f t="shared" si="0"/>
        <v>237.12980236468306</v>
      </c>
      <c r="F28" s="342">
        <f t="shared" si="1"/>
        <v>1.4645846807036563E-2</v>
      </c>
      <c r="G28" s="346">
        <f>F28*VLOOKUP("European Peace Facility",'AGGREGATES by group'!B:F,5,0)</f>
        <v>2.9291693614073126E-2</v>
      </c>
      <c r="H28" s="293"/>
      <c r="I28" s="293"/>
    </row>
    <row r="29" spans="2:9">
      <c r="B29" s="254" t="s">
        <v>1478</v>
      </c>
      <c r="C29" s="348">
        <v>242701599782.81766</v>
      </c>
      <c r="D29" s="349">
        <f>C29*VLOOKUP("USD",'Currency Conversion'!B:C,2,0)</f>
        <v>256292889370.65546</v>
      </c>
      <c r="E29" s="260">
        <f t="shared" si="0"/>
        <v>256.29288937065547</v>
      </c>
      <c r="F29" s="342">
        <f t="shared" si="1"/>
        <v>1.582941645471736E-2</v>
      </c>
      <c r="G29" s="346">
        <f>F29*VLOOKUP("European Peace Facility",'AGGREGATES by group'!B:F,5,0)</f>
        <v>3.165883290943472E-2</v>
      </c>
      <c r="H29" s="293"/>
      <c r="I29" s="293"/>
    </row>
    <row r="30" spans="2:9">
      <c r="B30" s="254" t="s">
        <v>1507</v>
      </c>
      <c r="C30" s="348">
        <v>103284085220.21864</v>
      </c>
      <c r="D30" s="349">
        <f>C30*VLOOKUP("USD",'Currency Conversion'!B:C,2,0)</f>
        <v>109067993992.55089</v>
      </c>
      <c r="E30" s="260">
        <f t="shared" si="0"/>
        <v>109.06799399255088</v>
      </c>
      <c r="F30" s="342">
        <f t="shared" si="1"/>
        <v>6.7363659718698956E-3</v>
      </c>
      <c r="G30" s="346">
        <f>F30*VLOOKUP("European Peace Facility",'AGGREGATES by group'!B:F,5,0)</f>
        <v>1.3472731943739791E-2</v>
      </c>
      <c r="H30" s="293"/>
      <c r="I30" s="293"/>
    </row>
    <row r="31" spans="2:9">
      <c r="B31" s="254" t="s">
        <v>1546</v>
      </c>
      <c r="C31" s="348">
        <v>53268437066.224869</v>
      </c>
      <c r="D31" s="349">
        <f>C31*VLOOKUP("USD",'Currency Conversion'!B:C,2,0)</f>
        <v>56251469541.933464</v>
      </c>
      <c r="E31" s="260">
        <f t="shared" si="0"/>
        <v>56.251469541933467</v>
      </c>
      <c r="F31" s="342">
        <f t="shared" si="1"/>
        <v>3.4742592342519533E-3</v>
      </c>
      <c r="G31" s="346">
        <f>F31*VLOOKUP("European Peace Facility",'AGGREGATES by group'!B:F,5,0)</f>
        <v>6.9485184685039066E-3</v>
      </c>
      <c r="H31" s="293"/>
      <c r="I31" s="293"/>
    </row>
    <row r="32" spans="2:9">
      <c r="B32" s="254" t="s">
        <v>1587</v>
      </c>
      <c r="C32" s="348">
        <v>1295796575673.0425</v>
      </c>
      <c r="D32" s="349">
        <f>C32*VLOOKUP("USD",'Currency Conversion'!B:C,2,0)</f>
        <v>1368361183910.7329</v>
      </c>
      <c r="E32" s="260">
        <f t="shared" si="0"/>
        <v>1368.361183910733</v>
      </c>
      <c r="F32" s="342">
        <f t="shared" si="1"/>
        <v>8.4514085013367171E-2</v>
      </c>
      <c r="G32" s="346">
        <f>F32*VLOOKUP("European Peace Facility",'AGGREGATES by group'!B:F,5,0)</f>
        <v>0.16902817002673434</v>
      </c>
      <c r="H32" s="293"/>
      <c r="I32" s="293"/>
    </row>
    <row r="33" spans="2:9">
      <c r="B33" s="254" t="s">
        <v>1645</v>
      </c>
      <c r="C33" s="348">
        <v>559623730597.23865</v>
      </c>
      <c r="D33" s="349">
        <f>C33*VLOOKUP("USD",'Currency Conversion'!B:C,2,0)</f>
        <v>590962659510.68408</v>
      </c>
      <c r="E33" s="260">
        <f t="shared" si="0"/>
        <v>590.96265951068403</v>
      </c>
      <c r="F33" s="342">
        <f t="shared" si="1"/>
        <v>3.6499623807561707E-2</v>
      </c>
      <c r="G33" s="346">
        <f>F33*VLOOKUP("European Peace Facility",'AGGREGATES by group'!B:F,5,0)</f>
        <v>7.2999247615123414E-2</v>
      </c>
      <c r="H33" s="293"/>
      <c r="I33" s="293"/>
    </row>
    <row r="34" spans="2:9" ht="16.5" customHeight="1">
      <c r="B34" s="262" t="s">
        <v>2799</v>
      </c>
      <c r="C34" s="350">
        <v>15332315027348.314</v>
      </c>
      <c r="D34" s="351">
        <f>C34*VLOOKUP("USD",'Currency Conversion'!B:C,2,0)</f>
        <v>16190924668879.82</v>
      </c>
      <c r="E34" s="331">
        <f t="shared" si="0"/>
        <v>16190.924668879821</v>
      </c>
      <c r="F34" s="346">
        <f t="shared" si="1"/>
        <v>1</v>
      </c>
      <c r="G34" s="346">
        <f>F34*VLOOKUP("European Peace Facility",'AGGREGATES by group'!B:F,5,0)</f>
        <v>2</v>
      </c>
      <c r="H34" s="293"/>
      <c r="I34" s="293"/>
    </row>
    <row r="35" spans="2:9">
      <c r="B35" s="245" t="s">
        <v>1837</v>
      </c>
      <c r="C35" s="348"/>
      <c r="D35" s="349">
        <f>C35*VLOOKUP("USD",'Currency Conversion'!B:C,2,0)</f>
        <v>0</v>
      </c>
      <c r="E35" s="260">
        <f t="shared" si="0"/>
        <v>0</v>
      </c>
      <c r="F35" s="342">
        <f t="shared" si="1"/>
        <v>0</v>
      </c>
      <c r="G35" s="346">
        <f>F35*VLOOKUP("European Peace Facility",'AGGREGATES by group'!B:F,5,0)</f>
        <v>0</v>
      </c>
      <c r="H35" s="293"/>
      <c r="I35" s="293"/>
    </row>
    <row r="36" spans="2:9">
      <c r="B36" s="245" t="s">
        <v>350</v>
      </c>
      <c r="C36" s="348"/>
      <c r="D36" s="349">
        <f>C36*VLOOKUP("USD",'Currency Conversion'!B:C,2,0)</f>
        <v>0</v>
      </c>
      <c r="E36" s="260">
        <f t="shared" si="0"/>
        <v>0</v>
      </c>
      <c r="F36" s="342">
        <f t="shared" si="1"/>
        <v>0</v>
      </c>
      <c r="G36" s="346">
        <f>F36*VLOOKUP("European Peace Facility",'AGGREGATES by group'!B:F,5,0)</f>
        <v>0</v>
      </c>
      <c r="H36" s="293"/>
      <c r="I36" s="293"/>
    </row>
    <row r="37" spans="2:9">
      <c r="B37" s="245" t="s">
        <v>1741</v>
      </c>
      <c r="C37" s="348"/>
      <c r="D37" s="349">
        <f>C37*VLOOKUP("USD",'Currency Conversion'!B:C,2,0)</f>
        <v>0</v>
      </c>
      <c r="E37" s="260">
        <f t="shared" si="0"/>
        <v>0</v>
      </c>
      <c r="F37" s="342">
        <f t="shared" si="1"/>
        <v>0</v>
      </c>
      <c r="G37" s="346">
        <f>F37*VLOOKUP("European Peace Facility",'AGGREGATES by group'!B:F,5,0)</f>
        <v>0</v>
      </c>
      <c r="H37" s="293"/>
      <c r="I37" s="293"/>
    </row>
    <row r="38" spans="2:9">
      <c r="B38" s="245" t="s">
        <v>1080</v>
      </c>
      <c r="C38" s="352"/>
      <c r="D38" s="349">
        <f>C38*VLOOKUP("USD",'Currency Conversion'!B:C,2,0)</f>
        <v>0</v>
      </c>
      <c r="E38" s="260">
        <f t="shared" si="0"/>
        <v>0</v>
      </c>
      <c r="F38" s="342">
        <f t="shared" si="1"/>
        <v>0</v>
      </c>
      <c r="G38" s="346">
        <f>F38*VLOOKUP("European Peace Facility",'AGGREGATES by group'!B:F,5,0)</f>
        <v>0</v>
      </c>
      <c r="H38" s="293"/>
      <c r="I38" s="293"/>
    </row>
    <row r="39" spans="2:9">
      <c r="B39" s="245" t="s">
        <v>2120</v>
      </c>
      <c r="C39" s="348"/>
      <c r="D39" s="349">
        <f>C39*VLOOKUP("USD",'Currency Conversion'!B:C,2,0)</f>
        <v>0</v>
      </c>
      <c r="E39" s="260">
        <f t="shared" si="0"/>
        <v>0</v>
      </c>
      <c r="F39" s="342">
        <f t="shared" si="1"/>
        <v>0</v>
      </c>
      <c r="G39" s="346">
        <f>F39*VLOOKUP("European Peace Facility",'AGGREGATES by group'!B:F,5,0)</f>
        <v>0</v>
      </c>
      <c r="H39" s="293"/>
      <c r="I39" s="293"/>
    </row>
    <row r="40" spans="2:9">
      <c r="B40" s="293" t="s">
        <v>1702</v>
      </c>
      <c r="C40" s="348"/>
      <c r="D40" s="349">
        <f>C40*VLOOKUP("USD",'Currency Conversion'!B:C,2,0)</f>
        <v>0</v>
      </c>
      <c r="E40" s="260">
        <f t="shared" si="0"/>
        <v>0</v>
      </c>
      <c r="F40" s="342">
        <f t="shared" si="1"/>
        <v>0</v>
      </c>
      <c r="G40" s="346">
        <f>F40*VLOOKUP("European Peace Facility",'AGGREGATES by group'!B:F,5,0)</f>
        <v>0</v>
      </c>
      <c r="H40" s="293"/>
      <c r="I40" s="293"/>
    </row>
    <row r="41" spans="2:9">
      <c r="B41" s="293" t="s">
        <v>1694</v>
      </c>
      <c r="C41" s="348"/>
      <c r="D41" s="349">
        <f>C41*VLOOKUP("USD",'Currency Conversion'!B:C,2,0)</f>
        <v>0</v>
      </c>
      <c r="E41" s="260">
        <f t="shared" si="0"/>
        <v>0</v>
      </c>
      <c r="F41" s="342">
        <f t="shared" si="1"/>
        <v>0</v>
      </c>
      <c r="G41" s="346">
        <f>F41*VLOOKUP("European Peace Facility",'AGGREGATES by group'!B:F,5,0)</f>
        <v>0</v>
      </c>
      <c r="H41" s="293"/>
      <c r="I41" s="293"/>
    </row>
    <row r="42" spans="2:9">
      <c r="B42" s="293" t="s">
        <v>1306</v>
      </c>
      <c r="C42" s="348"/>
      <c r="D42" s="349">
        <f>C42*VLOOKUP("USD",'Currency Conversion'!B:C,2,0)</f>
        <v>0</v>
      </c>
      <c r="E42" s="260">
        <f t="shared" si="0"/>
        <v>0</v>
      </c>
      <c r="F42" s="342">
        <f t="shared" si="1"/>
        <v>0</v>
      </c>
      <c r="G42" s="346">
        <f>F42*VLOOKUP("European Peace Facility",'AGGREGATES by group'!B:F,5,0)</f>
        <v>0</v>
      </c>
      <c r="H42" s="293"/>
      <c r="I42" s="293"/>
    </row>
    <row r="43" spans="2:9">
      <c r="B43" s="293" t="s">
        <v>1273</v>
      </c>
      <c r="C43" s="352"/>
      <c r="D43" s="349">
        <f>C43*VLOOKUP("USD",'Currency Conversion'!B:C,2,0)</f>
        <v>0</v>
      </c>
      <c r="E43" s="260">
        <f t="shared" si="0"/>
        <v>0</v>
      </c>
      <c r="F43" s="342">
        <f t="shared" si="1"/>
        <v>0</v>
      </c>
      <c r="G43" s="346">
        <f>F43*VLOOKUP("European Peace Facility",'AGGREGATES by group'!B:F,5,0)</f>
        <v>0</v>
      </c>
      <c r="H43" s="293"/>
      <c r="I43" s="293"/>
    </row>
    <row r="44" spans="2:9">
      <c r="B44" s="293" t="s">
        <v>189</v>
      </c>
      <c r="C44" s="348"/>
      <c r="D44" s="349">
        <f>C44*VLOOKUP("USD",'Currency Conversion'!B:C,2,0)</f>
        <v>0</v>
      </c>
      <c r="E44" s="260">
        <f t="shared" si="0"/>
        <v>0</v>
      </c>
      <c r="F44" s="342">
        <f t="shared" si="1"/>
        <v>0</v>
      </c>
      <c r="G44" s="346">
        <f>F44*VLOOKUP("European Peace Facility",'AGGREGATES by group'!B:F,5,0)</f>
        <v>0</v>
      </c>
      <c r="H44" s="293"/>
      <c r="I44" s="293"/>
    </row>
    <row r="45" spans="2:9">
      <c r="B45" s="293" t="s">
        <v>1449</v>
      </c>
      <c r="C45" s="348"/>
      <c r="D45" s="349">
        <f>C45*VLOOKUP("USD",'Currency Conversion'!B:C,2,0)</f>
        <v>0</v>
      </c>
      <c r="E45" s="260">
        <f t="shared" si="0"/>
        <v>0</v>
      </c>
      <c r="F45" s="342">
        <f t="shared" si="1"/>
        <v>0</v>
      </c>
      <c r="G45" s="346">
        <f>F45*VLOOKUP("European Peace Facility",'AGGREGATES by group'!B:F,5,0)</f>
        <v>0</v>
      </c>
      <c r="H45" s="293"/>
      <c r="I45" s="293"/>
    </row>
    <row r="46" spans="2:9">
      <c r="B46" s="279" t="s">
        <v>2015</v>
      </c>
      <c r="C46" s="348"/>
      <c r="D46" s="349">
        <f>C46*VLOOKUP("USD",'Currency Conversion'!B:C,2,0)</f>
        <v>0</v>
      </c>
      <c r="E46" s="260">
        <f t="shared" ref="E46:E49" si="2">D46/1000000000</f>
        <v>0</v>
      </c>
      <c r="F46" s="342">
        <f t="shared" ref="F46:F49" si="3">E46/$E$34</f>
        <v>0</v>
      </c>
      <c r="G46" s="346">
        <f>F46*VLOOKUP("European Peace Facility",'AGGREGATES by group'!B:F,5,0)</f>
        <v>0</v>
      </c>
      <c r="H46" s="293"/>
      <c r="I46" s="293"/>
    </row>
    <row r="47" spans="2:9">
      <c r="B47" s="336" t="s">
        <v>456</v>
      </c>
      <c r="D47" s="349">
        <f>C47*VLOOKUP("USD",'Currency Conversion'!B:C,2,0)</f>
        <v>0</v>
      </c>
      <c r="E47" s="260">
        <f t="shared" si="2"/>
        <v>0</v>
      </c>
      <c r="F47" s="342">
        <f t="shared" si="3"/>
        <v>0</v>
      </c>
      <c r="G47" s="346">
        <f>F47*VLOOKUP("European Peace Facility",'AGGREGATES by group'!B:F,5,0)</f>
        <v>0</v>
      </c>
      <c r="H47" s="293"/>
      <c r="I47" s="293"/>
    </row>
    <row r="48" spans="2:9">
      <c r="B48" s="336" t="s">
        <v>1721</v>
      </c>
      <c r="D48" s="349">
        <f>C48*VLOOKUP("USD",'Currency Conversion'!B:C,2,0)</f>
        <v>0</v>
      </c>
      <c r="E48" s="260">
        <f t="shared" si="2"/>
        <v>0</v>
      </c>
      <c r="F48" s="342">
        <f t="shared" si="3"/>
        <v>0</v>
      </c>
      <c r="G48" s="346">
        <f>F48*VLOOKUP("European Peace Facility",'AGGREGATES by group'!B:F,5,0)</f>
        <v>0</v>
      </c>
      <c r="H48" s="293"/>
      <c r="I48" s="293"/>
    </row>
    <row r="49" spans="2:7">
      <c r="B49" s="336" t="s">
        <v>998</v>
      </c>
      <c r="D49" s="349">
        <f>C49*VLOOKUP("USD",'Currency Conversion'!B:C,2,0)</f>
        <v>0</v>
      </c>
      <c r="E49" s="260">
        <f t="shared" si="2"/>
        <v>0</v>
      </c>
      <c r="F49" s="342">
        <f t="shared" si="3"/>
        <v>0</v>
      </c>
      <c r="G49" s="346">
        <f>F49*VLOOKUP("European Peace Facility",'AGGREGATES by group'!B:F,5,0)</f>
        <v>0</v>
      </c>
    </row>
  </sheetData>
  <hyperlinks>
    <hyperlink ref="C4" r:id="rId1" location="d1e1170-14-1  (Preamble, (19))" xr:uid="{00000000-0004-0000-1600-000000000000}"/>
  </hyperlinks>
  <pageMargins left="0.7" right="0.7" top="0.75" bottom="0.75" header="0.3" footer="0.3"/>
  <pageSetup paperSize="9" orientation="portrait"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B2:I49"/>
  <sheetViews>
    <sheetView showGridLines="0" topLeftCell="A5" workbookViewId="0">
      <selection activeCell="E48" sqref="E48"/>
    </sheetView>
  </sheetViews>
  <sheetFormatPr defaultColWidth="9" defaultRowHeight="15.75"/>
  <cols>
    <col min="1" max="1" width="9" style="279"/>
    <col min="2" max="3" width="40.125" style="279" bestFit="1" customWidth="1"/>
    <col min="4" max="4" width="19.625" style="324" customWidth="1"/>
    <col min="5" max="5" width="28.125" style="139" bestFit="1" customWidth="1"/>
    <col min="6" max="16384" width="9" style="279"/>
  </cols>
  <sheetData>
    <row r="2" spans="2:9">
      <c r="B2" s="249" t="s">
        <v>2807</v>
      </c>
      <c r="C2" s="292"/>
      <c r="D2" s="325"/>
      <c r="E2" s="292"/>
      <c r="F2" s="292"/>
      <c r="G2" s="292"/>
      <c r="H2" s="292"/>
      <c r="I2" s="292"/>
    </row>
    <row r="3" spans="2:9">
      <c r="B3" s="281"/>
      <c r="C3" s="281"/>
      <c r="D3" s="326"/>
      <c r="E3" s="292"/>
      <c r="F3" s="281"/>
      <c r="G3" s="281"/>
      <c r="H3" s="281"/>
      <c r="I3" s="281"/>
    </row>
    <row r="4" spans="2:9">
      <c r="B4" s="245" t="s">
        <v>2801</v>
      </c>
      <c r="C4" s="353" t="s">
        <v>2808</v>
      </c>
      <c r="F4" s="281"/>
      <c r="G4" s="281"/>
      <c r="H4" s="281"/>
      <c r="I4" s="281"/>
    </row>
    <row r="5" spans="2:9" ht="15.75" customHeight="1">
      <c r="B5" s="253"/>
      <c r="C5" s="245"/>
      <c r="D5" s="331"/>
      <c r="E5" s="250"/>
      <c r="F5" s="328"/>
      <c r="G5" s="328"/>
      <c r="H5" s="328"/>
      <c r="I5" s="328"/>
    </row>
    <row r="6" spans="2:9">
      <c r="B6" s="255" t="s">
        <v>2156</v>
      </c>
      <c r="C6" s="255" t="s">
        <v>2809</v>
      </c>
      <c r="D6" s="354" t="s">
        <v>2810</v>
      </c>
      <c r="E6" s="255" t="s">
        <v>2811</v>
      </c>
      <c r="F6" s="328"/>
      <c r="G6" s="328"/>
      <c r="H6" s="328"/>
      <c r="I6" s="328"/>
    </row>
    <row r="7" spans="2:9">
      <c r="B7" s="254" t="s">
        <v>257</v>
      </c>
      <c r="C7" s="258">
        <v>6428994386</v>
      </c>
      <c r="D7" s="259">
        <f t="shared" ref="D7:D45" si="0">C7/$C$34</f>
        <v>2.5840465861099449E-2</v>
      </c>
      <c r="E7" s="331">
        <f>D7*VLOOKUP("European Investment Bank",'AGGREGATES by group'!B:F,5,0)</f>
        <v>5.1745532886851645E-2</v>
      </c>
      <c r="F7" s="328"/>
      <c r="G7" s="328"/>
      <c r="H7" s="328"/>
      <c r="I7" s="328"/>
    </row>
    <row r="8" spans="2:9">
      <c r="B8" s="254" t="s">
        <v>296</v>
      </c>
      <c r="C8" s="258">
        <v>12951115777</v>
      </c>
      <c r="D8" s="259">
        <f t="shared" si="0"/>
        <v>5.205524301397562E-2</v>
      </c>
      <c r="E8" s="331">
        <f>D8*VLOOKUP("European Investment Bank",'AGGREGATES by group'!B:F,5,0)</f>
        <v>0.10424062413548618</v>
      </c>
      <c r="F8" s="328"/>
      <c r="G8" s="328"/>
      <c r="H8" s="328"/>
      <c r="I8" s="328"/>
    </row>
    <row r="9" spans="2:9" s="333" customFormat="1">
      <c r="B9" s="254" t="s">
        <v>329</v>
      </c>
      <c r="C9" s="258">
        <v>510041217</v>
      </c>
      <c r="D9" s="259">
        <f t="shared" si="0"/>
        <v>2.050041089527577E-3</v>
      </c>
      <c r="E9" s="331">
        <f>D9*VLOOKUP("European Investment Bank",'AGGREGATES by group'!B:F,5,0)</f>
        <v>4.105207281778973E-3</v>
      </c>
      <c r="F9" s="332"/>
      <c r="G9" s="332"/>
      <c r="H9" s="332"/>
      <c r="I9" s="332"/>
    </row>
    <row r="10" spans="2:9">
      <c r="B10" s="254" t="s">
        <v>464</v>
      </c>
      <c r="C10" s="258">
        <v>1062312542</v>
      </c>
      <c r="D10" s="259">
        <f t="shared" si="0"/>
        <v>4.2698203369326716E-3</v>
      </c>
      <c r="E10" s="331">
        <f>D10*VLOOKUP("European Investment Bank",'AGGREGATES by group'!B:F,5,0)</f>
        <v>8.5503152247076754E-3</v>
      </c>
      <c r="F10" s="281"/>
      <c r="G10" s="281"/>
      <c r="H10" s="281"/>
      <c r="I10" s="281"/>
    </row>
    <row r="11" spans="2:9">
      <c r="B11" s="254" t="s">
        <v>490</v>
      </c>
      <c r="C11" s="258">
        <v>321508011</v>
      </c>
      <c r="D11" s="259">
        <f t="shared" si="0"/>
        <v>1.2922575885906966E-3</v>
      </c>
      <c r="E11" s="331">
        <f>D11*VLOOKUP("European Investment Bank",'AGGREGATES by group'!B:F,5,0)</f>
        <v>2.5877458211528699E-3</v>
      </c>
      <c r="F11" s="281"/>
      <c r="G11" s="281"/>
      <c r="H11" s="281"/>
      <c r="I11" s="281"/>
    </row>
    <row r="12" spans="2:9">
      <c r="B12" s="254" t="s">
        <v>503</v>
      </c>
      <c r="C12" s="258">
        <v>2206922328</v>
      </c>
      <c r="D12" s="259">
        <f t="shared" si="0"/>
        <v>8.8704232187491166E-3</v>
      </c>
      <c r="E12" s="331">
        <f>D12*VLOOKUP("European Investment Bank",'AGGREGATES by group'!B:F,5,0)</f>
        <v>1.7763022495545105E-2</v>
      </c>
      <c r="F12" s="281"/>
      <c r="G12" s="281"/>
      <c r="H12" s="281"/>
      <c r="I12" s="281"/>
    </row>
    <row r="13" spans="2:9">
      <c r="B13" s="254" t="s">
        <v>618</v>
      </c>
      <c r="C13" s="258">
        <v>6557521657</v>
      </c>
      <c r="D13" s="259">
        <f t="shared" si="0"/>
        <v>2.6357063692593618E-2</v>
      </c>
      <c r="E13" s="331">
        <f>D13*VLOOKUP("European Investment Bank",'AGGREGATES by group'!B:F,5,0)</f>
        <v>5.2780020044418716E-2</v>
      </c>
      <c r="F13" s="281"/>
      <c r="G13" s="281"/>
      <c r="H13" s="281"/>
      <c r="I13" s="281"/>
    </row>
    <row r="14" spans="2:9">
      <c r="B14" s="254" t="s">
        <v>666</v>
      </c>
      <c r="C14" s="258">
        <v>206248240</v>
      </c>
      <c r="D14" s="259">
        <f t="shared" si="0"/>
        <v>8.2898666333224046E-4</v>
      </c>
      <c r="E14" s="331">
        <f>D14*VLOOKUP("European Investment Bank",'AGGREGATES by group'!B:F,5,0)</f>
        <v>1.6600457933228115E-3</v>
      </c>
      <c r="F14" s="281"/>
      <c r="G14" s="281"/>
      <c r="H14" s="281"/>
      <c r="I14" s="281"/>
    </row>
    <row r="15" spans="2:9">
      <c r="B15" s="254" t="s">
        <v>701</v>
      </c>
      <c r="C15" s="258">
        <v>3693702498</v>
      </c>
      <c r="D15" s="259">
        <f t="shared" si="0"/>
        <v>1.4846333278572373E-2</v>
      </c>
      <c r="E15" s="331">
        <f>D15*VLOOKUP("European Investment Bank",'AGGREGATES by group'!B:F,5,0)</f>
        <v>2.9729782390341176E-2</v>
      </c>
      <c r="F15" s="281"/>
      <c r="G15" s="281"/>
      <c r="H15" s="281"/>
      <c r="I15" s="281"/>
    </row>
    <row r="16" spans="2:9">
      <c r="B16" s="254" t="s">
        <v>763</v>
      </c>
      <c r="C16" s="258">
        <v>46722369149</v>
      </c>
      <c r="D16" s="259">
        <f t="shared" si="0"/>
        <v>0.18779418871068534</v>
      </c>
      <c r="E16" s="331">
        <f>D16*VLOOKUP("European Investment Bank",'AGGREGATES by group'!B:F,5,0)</f>
        <v>0.37605786289314741</v>
      </c>
      <c r="F16" s="281"/>
      <c r="G16" s="281"/>
      <c r="H16" s="281"/>
      <c r="I16" s="281"/>
    </row>
    <row r="17" spans="2:9">
      <c r="B17" s="254" t="s">
        <v>840</v>
      </c>
      <c r="C17" s="258">
        <v>46722369149</v>
      </c>
      <c r="D17" s="259">
        <f t="shared" si="0"/>
        <v>0.18779418871068534</v>
      </c>
      <c r="E17" s="331">
        <f>D17*VLOOKUP("European Investment Bank",'AGGREGATES by group'!B:F,5,0)</f>
        <v>0.37605786289314741</v>
      </c>
      <c r="F17" s="281"/>
      <c r="G17" s="281"/>
      <c r="H17" s="281"/>
      <c r="I17" s="281"/>
    </row>
    <row r="18" spans="2:9">
      <c r="B18" s="254" t="s">
        <v>926</v>
      </c>
      <c r="C18" s="258">
        <v>3512961713</v>
      </c>
      <c r="D18" s="259">
        <f t="shared" si="0"/>
        <v>1.4119870350766542E-2</v>
      </c>
      <c r="E18" s="331">
        <f>D18*VLOOKUP("European Investment Bank",'AGGREGATES by group'!B:F,5,0)</f>
        <v>2.827504037741E-2</v>
      </c>
      <c r="F18" s="281"/>
      <c r="G18" s="281"/>
      <c r="H18" s="281"/>
      <c r="I18" s="281"/>
    </row>
    <row r="19" spans="2:9">
      <c r="B19" s="254" t="s">
        <v>963</v>
      </c>
      <c r="C19" s="258">
        <v>2087849195</v>
      </c>
      <c r="D19" s="259">
        <f t="shared" si="0"/>
        <v>8.3918250051683071E-3</v>
      </c>
      <c r="E19" s="331">
        <f>D19*VLOOKUP("European Investment Bank",'AGGREGATES by group'!B:F,5,0)</f>
        <v>1.6804629572849533E-2</v>
      </c>
      <c r="F19" s="281"/>
      <c r="G19" s="281"/>
      <c r="H19" s="281"/>
      <c r="I19" s="281"/>
    </row>
    <row r="20" spans="2:9">
      <c r="B20" s="254" t="s">
        <v>1006</v>
      </c>
      <c r="C20" s="258">
        <v>1639379073</v>
      </c>
      <c r="D20" s="259">
        <f t="shared" si="0"/>
        <v>6.5892605321770095E-3</v>
      </c>
      <c r="E20" s="331">
        <f>D20*VLOOKUP("European Investment Bank",'AGGREGATES by group'!B:F,5,0)</f>
        <v>1.3194994215684461E-2</v>
      </c>
      <c r="F20" s="281"/>
      <c r="G20" s="281"/>
      <c r="H20" s="281"/>
      <c r="I20" s="281"/>
    </row>
    <row r="21" spans="2:9">
      <c r="B21" s="254" t="s">
        <v>1036</v>
      </c>
      <c r="C21" s="258">
        <v>46722369149</v>
      </c>
      <c r="D21" s="259">
        <f t="shared" si="0"/>
        <v>0.18779418871068534</v>
      </c>
      <c r="E21" s="331">
        <f>D21*VLOOKUP("European Investment Bank",'AGGREGATES by group'!B:F,5,0)</f>
        <v>0.37605786289314741</v>
      </c>
      <c r="F21" s="281"/>
      <c r="G21" s="281"/>
      <c r="H21" s="281"/>
      <c r="I21" s="281"/>
    </row>
    <row r="22" spans="2:9">
      <c r="B22" s="254" t="s">
        <v>1119</v>
      </c>
      <c r="C22" s="258">
        <v>267076094</v>
      </c>
      <c r="D22" s="259">
        <f t="shared" si="0"/>
        <v>1.0734759240654263E-3</v>
      </c>
      <c r="E22" s="331">
        <f>D22*VLOOKUP("European Investment Bank",'AGGREGATES by group'!B:F,5,0)</f>
        <v>2.1496355379410164E-3</v>
      </c>
      <c r="F22" s="281"/>
      <c r="G22" s="281"/>
      <c r="H22" s="281"/>
      <c r="I22" s="281"/>
    </row>
    <row r="23" spans="2:9">
      <c r="B23" s="254" t="s">
        <v>1147</v>
      </c>
      <c r="C23" s="258">
        <v>437633208</v>
      </c>
      <c r="D23" s="259">
        <f t="shared" si="0"/>
        <v>1.7590069755906977E-3</v>
      </c>
      <c r="E23" s="331">
        <f>D23*VLOOKUP("European Investment Bank",'AGGREGATES by group'!B:F,5,0)</f>
        <v>3.5224114686203721E-3</v>
      </c>
      <c r="F23" s="281"/>
      <c r="G23" s="281"/>
      <c r="H23" s="281"/>
      <c r="I23" s="281"/>
    </row>
    <row r="24" spans="2:9">
      <c r="B24" s="254" t="s">
        <v>1187</v>
      </c>
      <c r="C24" s="258">
        <v>327878318</v>
      </c>
      <c r="D24" s="259">
        <f t="shared" si="0"/>
        <v>1.3178621685101762E-3</v>
      </c>
      <c r="E24" s="331">
        <f>D24*VLOOKUP("European Investment Bank",'AGGREGATES by group'!B:F,5,0)</f>
        <v>2.6390189924416279E-3</v>
      </c>
      <c r="F24" s="281"/>
      <c r="G24" s="281"/>
      <c r="H24" s="281"/>
      <c r="I24" s="281"/>
    </row>
    <row r="25" spans="2:9">
      <c r="B25" s="254" t="s">
        <v>1207</v>
      </c>
      <c r="C25" s="258">
        <v>122381664</v>
      </c>
      <c r="D25" s="259">
        <f t="shared" si="0"/>
        <v>4.9189640257006498E-4</v>
      </c>
      <c r="E25" s="331">
        <f>D25*VLOOKUP("European Investment Bank",'AGGREGATES by group'!B:F,5,0)</f>
        <v>9.8502254614655517E-4</v>
      </c>
      <c r="F25" s="281"/>
      <c r="G25" s="281"/>
      <c r="H25" s="281"/>
      <c r="I25" s="281"/>
    </row>
    <row r="26" spans="2:9">
      <c r="B26" s="254" t="s">
        <v>1215</v>
      </c>
      <c r="C26" s="258">
        <v>12951115777</v>
      </c>
      <c r="D26" s="259">
        <f t="shared" si="0"/>
        <v>5.205524301397562E-2</v>
      </c>
      <c r="E26" s="331">
        <f>D26*VLOOKUP("European Investment Bank",'AGGREGATES by group'!B:F,5,0)</f>
        <v>0.10424062413548618</v>
      </c>
      <c r="F26" s="281"/>
      <c r="G26" s="281"/>
      <c r="H26" s="281"/>
      <c r="I26" s="281"/>
    </row>
    <row r="27" spans="2:9">
      <c r="B27" s="254" t="s">
        <v>1364</v>
      </c>
      <c r="C27" s="258">
        <v>11366679827</v>
      </c>
      <c r="D27" s="259">
        <f t="shared" si="0"/>
        <v>4.5686818869099775E-2</v>
      </c>
      <c r="E27" s="331">
        <f>D27*VLOOKUP("European Investment Bank",'AGGREGATES by group'!B:F,5,0)</f>
        <v>9.1487854785372302E-2</v>
      </c>
      <c r="F27" s="281"/>
      <c r="G27" s="281"/>
      <c r="H27" s="281"/>
      <c r="I27" s="281"/>
    </row>
    <row r="28" spans="2:9">
      <c r="B28" s="254" t="s">
        <v>1408</v>
      </c>
      <c r="C28" s="258">
        <v>2263904037</v>
      </c>
      <c r="D28" s="259">
        <f t="shared" si="0"/>
        <v>9.0994534243638587E-3</v>
      </c>
      <c r="E28" s="331">
        <f>D28*VLOOKUP("European Investment Bank",'AGGREGATES by group'!B:F,5,0)</f>
        <v>1.8221655482288625E-2</v>
      </c>
      <c r="F28" s="281"/>
      <c r="G28" s="281"/>
      <c r="H28" s="281"/>
      <c r="I28" s="281"/>
    </row>
    <row r="29" spans="2:9">
      <c r="B29" s="254" t="s">
        <v>1478</v>
      </c>
      <c r="C29" s="258">
        <v>1639379073</v>
      </c>
      <c r="D29" s="259">
        <f t="shared" si="0"/>
        <v>6.5892605321770095E-3</v>
      </c>
      <c r="E29" s="331">
        <f>D29*VLOOKUP("European Investment Bank",'AGGREGATES by group'!B:F,5,0)</f>
        <v>1.3194994215684461E-2</v>
      </c>
      <c r="F29" s="281"/>
      <c r="G29" s="281"/>
      <c r="H29" s="281"/>
      <c r="I29" s="281"/>
    </row>
    <row r="30" spans="2:9">
      <c r="B30" s="254" t="s">
        <v>1507</v>
      </c>
      <c r="C30" s="258">
        <v>751236149</v>
      </c>
      <c r="D30" s="259">
        <f t="shared" si="0"/>
        <v>3.0194912137629483E-3</v>
      </c>
      <c r="E30" s="331">
        <f>D30*VLOOKUP("European Investment Bank",'AGGREGATES by group'!B:F,5,0)</f>
        <v>6.0465311555603042E-3</v>
      </c>
      <c r="F30" s="281"/>
      <c r="G30" s="281"/>
      <c r="H30" s="281"/>
      <c r="I30" s="281"/>
    </row>
    <row r="31" spans="2:9">
      <c r="B31" s="254" t="s">
        <v>1546</v>
      </c>
      <c r="C31" s="258">
        <v>697455090</v>
      </c>
      <c r="D31" s="259">
        <f t="shared" si="0"/>
        <v>2.8033255841755909E-3</v>
      </c>
      <c r="E31" s="331">
        <f>D31*VLOOKUP("European Investment Bank",'AGGREGATES by group'!B:F,5,0)</f>
        <v>5.6136594823116203E-3</v>
      </c>
      <c r="F31" s="281"/>
      <c r="G31" s="281"/>
      <c r="H31" s="281"/>
      <c r="I31" s="281"/>
    </row>
    <row r="32" spans="2:9">
      <c r="B32" s="254" t="s">
        <v>1587</v>
      </c>
      <c r="C32" s="258">
        <v>28033421847</v>
      </c>
      <c r="D32" s="259">
        <f t="shared" si="0"/>
        <v>0.11267651466373563</v>
      </c>
      <c r="E32" s="331">
        <f>D32*VLOOKUP("European Investment Bank",'AGGREGATES by group'!B:F,5,0)</f>
        <v>0.22563472061413059</v>
      </c>
      <c r="F32" s="281"/>
      <c r="G32" s="281"/>
      <c r="H32" s="281"/>
      <c r="I32" s="281"/>
    </row>
    <row r="33" spans="2:9">
      <c r="B33" s="254" t="s">
        <v>1645</v>
      </c>
      <c r="C33" s="258">
        <v>8591781713</v>
      </c>
      <c r="D33" s="259">
        <f t="shared" si="0"/>
        <v>3.4533494464431949E-2</v>
      </c>
      <c r="E33" s="331">
        <f>D33*VLOOKUP("European Investment Bank",'AGGREGATES by group'!B:F,5,0)</f>
        <v>6.9153322665024983E-2</v>
      </c>
      <c r="F33" s="281"/>
      <c r="G33" s="281"/>
      <c r="H33" s="281"/>
      <c r="I33" s="281"/>
    </row>
    <row r="34" spans="2:9" ht="16.5" customHeight="1">
      <c r="B34" s="262" t="s">
        <v>2799</v>
      </c>
      <c r="C34" s="263">
        <v>248795606881</v>
      </c>
      <c r="D34" s="265">
        <f t="shared" si="0"/>
        <v>1</v>
      </c>
      <c r="E34" s="331">
        <f>D34*VLOOKUP("European Investment Bank",'AGGREGATES by group'!B:F,5,0)</f>
        <v>2.0024999999999999</v>
      </c>
      <c r="F34" s="281"/>
      <c r="G34" s="281"/>
      <c r="H34" s="281"/>
      <c r="I34" s="281"/>
    </row>
    <row r="35" spans="2:9">
      <c r="B35" s="245" t="s">
        <v>1837</v>
      </c>
      <c r="C35" s="245">
        <v>0</v>
      </c>
      <c r="D35" s="259">
        <f t="shared" si="0"/>
        <v>0</v>
      </c>
      <c r="E35" s="331">
        <f>D35*VLOOKUP("European Investment Bank",'AGGREGATES by group'!B:F,5,0)</f>
        <v>0</v>
      </c>
      <c r="F35" s="281"/>
      <c r="G35" s="281"/>
      <c r="H35" s="281"/>
      <c r="I35" s="281"/>
    </row>
    <row r="36" spans="2:9">
      <c r="B36" s="245" t="s">
        <v>350</v>
      </c>
      <c r="C36" s="245">
        <v>0</v>
      </c>
      <c r="D36" s="259">
        <f t="shared" si="0"/>
        <v>0</v>
      </c>
      <c r="E36" s="331">
        <f>D36*VLOOKUP("European Investment Bank",'AGGREGATES by group'!B:F,5,0)</f>
        <v>0</v>
      </c>
      <c r="F36" s="281"/>
      <c r="G36" s="281"/>
      <c r="H36" s="281"/>
      <c r="I36" s="281"/>
    </row>
    <row r="37" spans="2:9">
      <c r="B37" s="245" t="s">
        <v>1741</v>
      </c>
      <c r="C37" s="245">
        <v>0</v>
      </c>
      <c r="D37" s="259">
        <f t="shared" si="0"/>
        <v>0</v>
      </c>
      <c r="E37" s="331">
        <f>D37*VLOOKUP("European Investment Bank",'AGGREGATES by group'!B:F,5,0)</f>
        <v>0</v>
      </c>
      <c r="F37" s="281"/>
      <c r="G37" s="281"/>
      <c r="H37" s="281"/>
      <c r="I37" s="281"/>
    </row>
    <row r="38" spans="2:9">
      <c r="B38" s="245" t="s">
        <v>1080</v>
      </c>
      <c r="C38" s="245">
        <v>0</v>
      </c>
      <c r="D38" s="259">
        <f t="shared" si="0"/>
        <v>0</v>
      </c>
      <c r="E38" s="331">
        <f>D38*VLOOKUP("European Investment Bank",'AGGREGATES by group'!B:F,5,0)</f>
        <v>0</v>
      </c>
      <c r="F38" s="281"/>
      <c r="G38" s="281"/>
      <c r="H38" s="281"/>
      <c r="I38" s="281"/>
    </row>
    <row r="39" spans="2:9">
      <c r="B39" s="245" t="s">
        <v>2120</v>
      </c>
      <c r="C39" s="245">
        <v>0</v>
      </c>
      <c r="D39" s="259">
        <f t="shared" si="0"/>
        <v>0</v>
      </c>
      <c r="E39" s="331">
        <f>D39*VLOOKUP("European Investment Bank",'AGGREGATES by group'!B:F,5,0)</f>
        <v>0</v>
      </c>
      <c r="F39" s="281"/>
      <c r="G39" s="281"/>
      <c r="H39" s="281"/>
      <c r="I39" s="281"/>
    </row>
    <row r="40" spans="2:9">
      <c r="B40" s="281" t="s">
        <v>1702</v>
      </c>
      <c r="C40" s="245">
        <v>0</v>
      </c>
      <c r="D40" s="259">
        <f t="shared" si="0"/>
        <v>0</v>
      </c>
      <c r="E40" s="331">
        <f>D40*VLOOKUP("European Investment Bank",'AGGREGATES by group'!B:F,5,0)</f>
        <v>0</v>
      </c>
      <c r="F40" s="281"/>
      <c r="G40" s="281"/>
      <c r="H40" s="281"/>
      <c r="I40" s="281"/>
    </row>
    <row r="41" spans="2:9">
      <c r="B41" s="281" t="s">
        <v>1694</v>
      </c>
      <c r="C41" s="245">
        <v>0</v>
      </c>
      <c r="D41" s="259">
        <f t="shared" si="0"/>
        <v>0</v>
      </c>
      <c r="E41" s="331">
        <f>D41*VLOOKUP("European Investment Bank",'AGGREGATES by group'!B:F,5,0)</f>
        <v>0</v>
      </c>
      <c r="F41" s="281"/>
      <c r="G41" s="281"/>
      <c r="H41" s="281"/>
      <c r="I41" s="281"/>
    </row>
    <row r="42" spans="2:9">
      <c r="B42" s="281" t="s">
        <v>1306</v>
      </c>
      <c r="C42" s="245">
        <v>0</v>
      </c>
      <c r="D42" s="259">
        <f t="shared" si="0"/>
        <v>0</v>
      </c>
      <c r="E42" s="331">
        <f>D42*VLOOKUP("European Investment Bank",'AGGREGATES by group'!B:F,5,0)</f>
        <v>0</v>
      </c>
      <c r="F42" s="281"/>
      <c r="G42" s="281"/>
      <c r="H42" s="281"/>
      <c r="I42" s="281"/>
    </row>
    <row r="43" spans="2:9">
      <c r="B43" s="281" t="s">
        <v>1273</v>
      </c>
      <c r="C43" s="245">
        <v>0</v>
      </c>
      <c r="D43" s="259">
        <f t="shared" si="0"/>
        <v>0</v>
      </c>
      <c r="E43" s="331">
        <f>D43*VLOOKUP("European Investment Bank",'AGGREGATES by group'!B:F,5,0)</f>
        <v>0</v>
      </c>
      <c r="F43" s="281"/>
      <c r="G43" s="281"/>
      <c r="H43" s="281"/>
      <c r="I43" s="281"/>
    </row>
    <row r="44" spans="2:9">
      <c r="B44" s="281" t="s">
        <v>189</v>
      </c>
      <c r="C44" s="245">
        <v>0</v>
      </c>
      <c r="D44" s="259">
        <f t="shared" si="0"/>
        <v>0</v>
      </c>
      <c r="E44" s="331">
        <f>D44*VLOOKUP("European Investment Bank",'AGGREGATES by group'!B:F,5,0)</f>
        <v>0</v>
      </c>
      <c r="F44" s="281"/>
      <c r="G44" s="281"/>
      <c r="H44" s="281"/>
      <c r="I44" s="281"/>
    </row>
    <row r="45" spans="2:9">
      <c r="B45" s="281" t="s">
        <v>1449</v>
      </c>
      <c r="C45" s="245">
        <v>0</v>
      </c>
      <c r="D45" s="259">
        <f t="shared" si="0"/>
        <v>0</v>
      </c>
      <c r="E45" s="331">
        <f>D45*VLOOKUP("European Investment Bank",'AGGREGATES by group'!B:F,5,0)</f>
        <v>0</v>
      </c>
      <c r="F45" s="281"/>
      <c r="G45" s="281"/>
      <c r="H45" s="281"/>
      <c r="I45" s="281"/>
    </row>
    <row r="46" spans="2:9">
      <c r="B46" s="279" t="s">
        <v>2015</v>
      </c>
      <c r="C46" s="245">
        <v>0</v>
      </c>
      <c r="D46" s="259">
        <f t="shared" ref="D46:D49" si="1">C46/$C$34</f>
        <v>0</v>
      </c>
      <c r="E46" s="331">
        <f>D46*VLOOKUP("European Investment Bank",'AGGREGATES by group'!B:F,5,0)</f>
        <v>0</v>
      </c>
      <c r="F46" s="281"/>
      <c r="G46" s="281"/>
      <c r="H46" s="281"/>
      <c r="I46" s="281"/>
    </row>
    <row r="47" spans="2:9">
      <c r="B47" s="279" t="s">
        <v>456</v>
      </c>
      <c r="C47" s="245">
        <v>0</v>
      </c>
      <c r="D47" s="259">
        <f t="shared" si="1"/>
        <v>0</v>
      </c>
      <c r="E47" s="331">
        <f>D47*VLOOKUP("European Investment Bank",'AGGREGATES by group'!B:F,5,0)</f>
        <v>0</v>
      </c>
      <c r="F47" s="281"/>
      <c r="G47" s="281"/>
      <c r="H47" s="281"/>
      <c r="I47" s="281"/>
    </row>
    <row r="48" spans="2:9">
      <c r="B48" s="279" t="s">
        <v>1721</v>
      </c>
      <c r="C48" s="245">
        <v>0</v>
      </c>
      <c r="D48" s="259">
        <f t="shared" si="1"/>
        <v>0</v>
      </c>
      <c r="E48" s="331">
        <f>D48*VLOOKUP("European Investment Bank",'AGGREGATES by group'!B:F,5,0)</f>
        <v>0</v>
      </c>
      <c r="F48" s="281"/>
      <c r="G48" s="281"/>
      <c r="H48" s="281"/>
      <c r="I48" s="281"/>
    </row>
    <row r="49" spans="2:5">
      <c r="B49" s="279" t="s">
        <v>998</v>
      </c>
      <c r="C49" s="245">
        <v>0</v>
      </c>
      <c r="D49" s="259">
        <f t="shared" si="1"/>
        <v>0</v>
      </c>
      <c r="E49" s="331">
        <f>D49*VLOOKUP("European Investment Bank",'AGGREGATES by group'!B:F,5,0)</f>
        <v>0</v>
      </c>
    </row>
  </sheetData>
  <hyperlinks>
    <hyperlink ref="C4" r:id="rId1"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AG163"/>
  <sheetViews>
    <sheetView showGridLines="0" workbookViewId="0">
      <pane ySplit="1" topLeftCell="A2" activePane="bottomLeft" state="frozen"/>
      <selection pane="bottomLeft" activeCell="E6" sqref="E6:E7"/>
      <selection sqref="A1:XFD3"/>
    </sheetView>
  </sheetViews>
  <sheetFormatPr defaultColWidth="8.875" defaultRowHeight="15.75"/>
  <cols>
    <col min="1" max="1" width="8.875" style="293"/>
    <col min="2" max="2" width="60.375" style="281" bestFit="1" customWidth="1"/>
    <col min="3" max="3" width="10.5" style="281" bestFit="1" customWidth="1"/>
    <col min="4" max="4" width="8.875" style="307"/>
    <col min="5" max="5" width="10.5" style="281" bestFit="1" customWidth="1"/>
    <col min="6" max="6" width="8.875" style="307"/>
    <col min="7" max="7" width="15.125" style="281" bestFit="1" customWidth="1"/>
    <col min="8" max="8" width="28" style="360" bestFit="1" customWidth="1"/>
    <col min="9" max="9" width="25.875" style="281" bestFit="1" customWidth="1"/>
    <col min="10" max="10" width="25.875" style="281" customWidth="1"/>
    <col min="11" max="11" width="26.125" style="281" bestFit="1" customWidth="1"/>
    <col min="12" max="12" width="38.5" style="281" bestFit="1" customWidth="1"/>
    <col min="13" max="13" width="37" style="361" bestFit="1" customWidth="1"/>
    <col min="14" max="14" width="30.125" style="281" bestFit="1" customWidth="1"/>
    <col min="15" max="15" width="28.625" style="326" bestFit="1" customWidth="1"/>
    <col min="16" max="16" width="27.625" style="281" bestFit="1" customWidth="1"/>
    <col min="17" max="17" width="8.875" style="281"/>
    <col min="18" max="18" width="16.5" style="281" customWidth="1"/>
    <col min="19" max="19" width="18.875" style="281" bestFit="1" customWidth="1"/>
    <col min="20" max="20" width="16.375" style="281" customWidth="1"/>
    <col min="21" max="26" width="8.875" style="281"/>
    <col min="27" max="27" width="8.875" style="307"/>
    <col min="28" max="16384" width="8.875" style="281"/>
  </cols>
  <sheetData>
    <row r="1" spans="1:33" s="292" customFormat="1">
      <c r="A1" s="291"/>
      <c r="B1" s="292" t="s">
        <v>2156</v>
      </c>
      <c r="C1" s="292" t="s">
        <v>351</v>
      </c>
      <c r="D1" s="292" t="s">
        <v>276</v>
      </c>
      <c r="E1" s="292" t="s">
        <v>1398</v>
      </c>
      <c r="F1" s="292" t="s">
        <v>804</v>
      </c>
      <c r="G1" s="292" t="s">
        <v>2812</v>
      </c>
      <c r="H1" s="355"/>
      <c r="M1" s="325"/>
      <c r="O1" s="325"/>
      <c r="P1" s="356"/>
      <c r="Q1" s="357"/>
      <c r="R1" s="357"/>
      <c r="S1" s="357"/>
      <c r="T1" s="357"/>
      <c r="U1" s="357"/>
      <c r="V1" s="357"/>
      <c r="W1" s="357"/>
      <c r="X1" s="357"/>
      <c r="Y1" s="357"/>
    </row>
    <row r="2" spans="1:33">
      <c r="B2" s="358" t="s">
        <v>189</v>
      </c>
      <c r="C2" s="358">
        <f>SUMIFS('MAIN DATASET'!R:R,'MAIN DATASET'!E:E,$C$1,'MAIN DATASET'!B:B,'Financial aid by type'!B2)/1000000000</f>
        <v>0</v>
      </c>
      <c r="D2" s="307">
        <f>SUMIFS('MAIN DATASET'!R:R,'MAIN DATASET'!E:E,$D$1,'MAIN DATASET'!B:B,'Financial aid by type'!B2)/1000000000</f>
        <v>0</v>
      </c>
      <c r="E2" s="359">
        <f>SUMIFS('MAIN DATASET'!R:R,'MAIN DATASET'!E:E,$E$1,'MAIN DATASET'!B:B,'Financial aid by type'!B2)/1000000000</f>
        <v>0</v>
      </c>
      <c r="F2" s="307">
        <f>SUMIFS('MAIN DATASET'!R:R,'MAIN DATASET'!E:E,$F$1,'MAIN DATASET'!B:B,'Financial aid by type'!B2)/1000000000</f>
        <v>0</v>
      </c>
      <c r="G2" s="358">
        <f t="shared" ref="G2:G43" si="0">SUM(C2:F2)</f>
        <v>0</v>
      </c>
      <c r="N2" s="362"/>
      <c r="Q2" s="358"/>
      <c r="R2" s="358"/>
      <c r="S2" s="358"/>
      <c r="T2" s="363"/>
      <c r="U2" s="358"/>
      <c r="V2" s="358"/>
      <c r="W2" s="358"/>
      <c r="X2" s="358"/>
      <c r="Y2" s="358"/>
    </row>
    <row r="3" spans="1:33">
      <c r="B3" s="281" t="s">
        <v>257</v>
      </c>
      <c r="C3" s="358">
        <f>SUMIFS('MAIN DATASET'!R:R,'MAIN DATASET'!E:E,$C$1,'MAIN DATASET'!B:B,'Financial aid by type'!B3)/1000000000</f>
        <v>0</v>
      </c>
      <c r="D3" s="307">
        <f>SUMIFS('MAIN DATASET'!R:R,'MAIN DATASET'!E:E,$D$1,'MAIN DATASET'!B:B,'Financial aid by type'!B3)/1000000000</f>
        <v>4.6899999999999997E-2</v>
      </c>
      <c r="E3" s="359">
        <f>SUMIFS('MAIN DATASET'!R:R,'MAIN DATASET'!E:E,$E$1,'MAIN DATASET'!B:B,'Financial aid by type'!B3)/1000000000</f>
        <v>0</v>
      </c>
      <c r="F3" s="307">
        <f>SUMIFS('MAIN DATASET'!R:R,'MAIN DATASET'!E:E,$F$1,'MAIN DATASET'!B:B,'Financial aid by type'!B3)/1000000000</f>
        <v>0</v>
      </c>
      <c r="G3" s="358">
        <f t="shared" si="0"/>
        <v>4.6899999999999997E-2</v>
      </c>
      <c r="N3" s="362"/>
      <c r="Q3" s="358"/>
      <c r="R3" s="358"/>
      <c r="S3" s="358"/>
      <c r="T3" s="363"/>
      <c r="U3" s="358"/>
      <c r="V3" s="358"/>
      <c r="W3" s="358"/>
      <c r="X3" s="358"/>
      <c r="Y3" s="358"/>
    </row>
    <row r="4" spans="1:33">
      <c r="B4" s="281" t="s">
        <v>296</v>
      </c>
      <c r="C4" s="358">
        <f>SUMIFS('MAIN DATASET'!R:R,'MAIN DATASET'!E:E,$C$1,'MAIN DATASET'!B:B,'Financial aid by type'!B4)/1000000000</f>
        <v>0</v>
      </c>
      <c r="D4" s="307">
        <f>SUMIFS('MAIN DATASET'!R:R,'MAIN DATASET'!E:E,$D$1,'MAIN DATASET'!B:B,'Financial aid by type'!B4)/1000000000</f>
        <v>0</v>
      </c>
      <c r="E4" s="359">
        <f>SUMIFS('MAIN DATASET'!R:R,'MAIN DATASET'!E:E,$E$1,'MAIN DATASET'!B:B,'Financial aid by type'!B4)/1000000000</f>
        <v>0</v>
      </c>
      <c r="F4" s="307">
        <f>SUMIFS('MAIN DATASET'!R:R,'MAIN DATASET'!E:E,$F$1,'MAIN DATASET'!B:B,'Financial aid by type'!B4)/1000000000</f>
        <v>0</v>
      </c>
      <c r="G4" s="358">
        <f t="shared" si="0"/>
        <v>0</v>
      </c>
      <c r="N4" s="362"/>
      <c r="Q4" s="358"/>
      <c r="R4" s="358"/>
      <c r="S4" s="358"/>
      <c r="T4" s="363"/>
      <c r="U4" s="358"/>
      <c r="V4" s="358"/>
      <c r="W4" s="358"/>
      <c r="X4" s="358"/>
      <c r="Y4" s="358"/>
      <c r="AD4" s="1016"/>
      <c r="AE4" s="1016"/>
      <c r="AF4" s="1016"/>
      <c r="AG4" s="1016"/>
    </row>
    <row r="5" spans="1:33" ht="15.75" customHeight="1">
      <c r="B5" s="281" t="s">
        <v>329</v>
      </c>
      <c r="C5" s="358">
        <f>SUMIFS('MAIN DATASET'!R:R,'MAIN DATASET'!E:E,$C$1,'MAIN DATASET'!B:B,'Financial aid by type'!B5)/1000000000</f>
        <v>0</v>
      </c>
      <c r="D5" s="307">
        <f>SUMIFS('MAIN DATASET'!R:R,'MAIN DATASET'!E:E,$D$1,'MAIN DATASET'!B:B,'Financial aid by type'!B5)/1000000000</f>
        <v>0</v>
      </c>
      <c r="E5" s="359">
        <f>SUMIFS('MAIN DATASET'!R:R,'MAIN DATASET'!E:E,$E$1,'MAIN DATASET'!B:B,'Financial aid by type'!B5)/1000000000</f>
        <v>0</v>
      </c>
      <c r="F5" s="307">
        <f>SUMIFS('MAIN DATASET'!R:R,'MAIN DATASET'!E:E,$F$1,'MAIN DATASET'!B:B,'Financial aid by type'!B5)/1000000000</f>
        <v>0</v>
      </c>
      <c r="G5" s="358">
        <f t="shared" si="0"/>
        <v>0</v>
      </c>
      <c r="N5" s="362"/>
      <c r="Q5" s="358"/>
      <c r="R5" s="358"/>
      <c r="S5" s="358"/>
      <c r="T5" s="363"/>
      <c r="U5" s="358"/>
      <c r="V5" s="358"/>
      <c r="W5" s="358"/>
      <c r="X5" s="358"/>
      <c r="Y5" s="358"/>
      <c r="AD5" s="1016"/>
      <c r="AE5" s="1016"/>
      <c r="AF5" s="1016"/>
      <c r="AG5" s="1016"/>
    </row>
    <row r="6" spans="1:33">
      <c r="B6" s="281" t="s">
        <v>350</v>
      </c>
      <c r="C6" s="358">
        <f>SUMIFS('MAIN DATASET'!R:R,'MAIN DATASET'!E:E,$C$1,'MAIN DATASET'!B:B,'Financial aid by type'!B6)/1000000000</f>
        <v>1.4407092722571113</v>
      </c>
      <c r="D6" s="307">
        <f>SUMIFS('MAIN DATASET'!R:R,'MAIN DATASET'!E:E,$D$1,'MAIN DATASET'!B:B,'Financial aid by type'!B6)/1000000000</f>
        <v>0</v>
      </c>
      <c r="E6" s="359">
        <f>SUMIFS('MAIN DATASET'!R:R,'MAIN DATASET'!E:E,$E$1,'MAIN DATASET'!B:B,'Financial aid by type'!B6)/1000000000</f>
        <v>0</v>
      </c>
      <c r="F6" s="307">
        <f>SUMIFS('MAIN DATASET'!R:R,'MAIN DATASET'!E:E,$F$1,'MAIN DATASET'!B:B,'Financial aid by type'!B6)/1000000000</f>
        <v>0</v>
      </c>
      <c r="G6" s="358">
        <f t="shared" si="0"/>
        <v>1.4407092722571113</v>
      </c>
      <c r="N6" s="362"/>
      <c r="Q6" s="358"/>
      <c r="R6" s="358"/>
      <c r="S6" s="358"/>
      <c r="T6" s="363"/>
      <c r="U6" s="358"/>
      <c r="V6" s="358"/>
      <c r="W6" s="358"/>
      <c r="X6" s="358"/>
      <c r="Y6" s="358"/>
      <c r="AD6" s="1016"/>
      <c r="AE6" s="1016"/>
      <c r="AF6" s="1016"/>
      <c r="AG6" s="1016"/>
    </row>
    <row r="7" spans="1:33">
      <c r="B7" s="281" t="s">
        <v>464</v>
      </c>
      <c r="C7" s="358">
        <f>SUMIFS('MAIN DATASET'!R:R,'MAIN DATASET'!E:E,$C$1,'MAIN DATASET'!B:B,'Financial aid by type'!B7)/1000000000</f>
        <v>0</v>
      </c>
      <c r="D7" s="307">
        <f>SUMIFS('MAIN DATASET'!R:R,'MAIN DATASET'!E:E,$D$1,'MAIN DATASET'!B:B,'Financial aid by type'!B7)/1000000000</f>
        <v>0</v>
      </c>
      <c r="E7" s="359">
        <f>SUMIFS('MAIN DATASET'!R:R,'MAIN DATASET'!E:E,$E$1,'MAIN DATASET'!B:B,'Financial aid by type'!B7)/1000000000</f>
        <v>0</v>
      </c>
      <c r="F7" s="307">
        <f>SUMIFS('MAIN DATASET'!R:R,'MAIN DATASET'!E:E,$F$1,'MAIN DATASET'!B:B,'Financial aid by type'!B7)/1000000000</f>
        <v>0</v>
      </c>
      <c r="G7" s="358">
        <f t="shared" si="0"/>
        <v>0</v>
      </c>
      <c r="N7" s="362"/>
      <c r="Q7" s="358"/>
      <c r="R7" s="358"/>
      <c r="S7" s="358"/>
      <c r="T7" s="363"/>
      <c r="U7" s="358"/>
      <c r="V7" s="358"/>
      <c r="W7" s="358"/>
      <c r="X7" s="358"/>
      <c r="Y7" s="358"/>
      <c r="AD7" s="1016"/>
      <c r="AE7" s="1016"/>
      <c r="AF7" s="1016"/>
      <c r="AG7" s="1016"/>
    </row>
    <row r="8" spans="1:33" ht="15.75" customHeight="1">
      <c r="B8" s="281" t="s">
        <v>490</v>
      </c>
      <c r="C8" s="358">
        <f>SUMIFS('MAIN DATASET'!R:R,'MAIN DATASET'!E:E,$C$1,'MAIN DATASET'!B:B,'Financial aid by type'!B8)/1000000000</f>
        <v>0</v>
      </c>
      <c r="D8" s="307">
        <f>SUMIFS('MAIN DATASET'!R:R,'MAIN DATASET'!E:E,$D$1,'MAIN DATASET'!B:B,'Financial aid by type'!B8)/1000000000</f>
        <v>0</v>
      </c>
      <c r="E8" s="359">
        <f>SUMIFS('MAIN DATASET'!R:R,'MAIN DATASET'!E:E,$E$1,'MAIN DATASET'!B:B,'Financial aid by type'!B8)/1000000000</f>
        <v>0</v>
      </c>
      <c r="F8" s="307">
        <f>SUMIFS('MAIN DATASET'!R:R,'MAIN DATASET'!E:E,$F$1,'MAIN DATASET'!B:B,'Financial aid by type'!B8)/1000000000</f>
        <v>0</v>
      </c>
      <c r="G8" s="358">
        <f t="shared" si="0"/>
        <v>0</v>
      </c>
      <c r="N8" s="362"/>
      <c r="Q8" s="358"/>
      <c r="R8" s="358"/>
      <c r="S8" s="358"/>
      <c r="T8" s="363"/>
      <c r="U8" s="358"/>
      <c r="V8" s="358"/>
      <c r="W8" s="358"/>
      <c r="X8" s="358"/>
      <c r="Y8" s="358"/>
    </row>
    <row r="9" spans="1:33">
      <c r="B9" s="281" t="s">
        <v>503</v>
      </c>
      <c r="C9" s="358">
        <f>SUMIFS('MAIN DATASET'!R:R,'MAIN DATASET'!E:E,$C$1,'MAIN DATASET'!B:B,'Financial aid by type'!B9)/1000000000</f>
        <v>0</v>
      </c>
      <c r="D9" s="307">
        <f>SUMIFS('MAIN DATASET'!R:R,'MAIN DATASET'!E:E,$D$1,'MAIN DATASET'!B:B,'Financial aid by type'!B9)/1000000000</f>
        <v>4.0451438048622632E-4</v>
      </c>
      <c r="E9" s="359">
        <f>SUMIFS('MAIN DATASET'!R:R,'MAIN DATASET'!E:E,$E$1,'MAIN DATASET'!B:B,'Financial aid by type'!B9)/1000000000</f>
        <v>0</v>
      </c>
      <c r="F9" s="307">
        <f>SUMIFS('MAIN DATASET'!R:R,'MAIN DATASET'!E:E,$F$1,'MAIN DATASET'!B:B,'Financial aid by type'!B9)/1000000000</f>
        <v>0</v>
      </c>
      <c r="G9" s="358">
        <f t="shared" si="0"/>
        <v>4.0451438048622632E-4</v>
      </c>
      <c r="N9" s="362"/>
      <c r="Q9" s="358"/>
      <c r="R9" s="358"/>
      <c r="S9" s="358"/>
      <c r="T9" s="363"/>
      <c r="U9" s="358"/>
      <c r="V9" s="358"/>
      <c r="W9" s="358"/>
      <c r="X9" s="358"/>
      <c r="Y9" s="358"/>
    </row>
    <row r="10" spans="1:33">
      <c r="B10" s="281" t="s">
        <v>618</v>
      </c>
      <c r="C10" s="358">
        <f>SUMIFS('MAIN DATASET'!R:R,'MAIN DATASET'!E:E,$C$1,'MAIN DATASET'!B:B,'Financial aid by type'!B10)/1000000000</f>
        <v>0</v>
      </c>
      <c r="D10" s="307">
        <f>SUMIFS('MAIN DATASET'!R:R,'MAIN DATASET'!E:E,$D$1,'MAIN DATASET'!B:B,'Financial aid by type'!B10)/1000000000</f>
        <v>0.02</v>
      </c>
      <c r="E10" s="359">
        <f>SUMIFS('MAIN DATASET'!R:R,'MAIN DATASET'!E:E,$E$1,'MAIN DATASET'!B:B,'Financial aid by type'!B10)/1000000000</f>
        <v>0</v>
      </c>
      <c r="F10" s="307">
        <f>SUMIFS('MAIN DATASET'!R:R,'MAIN DATASET'!E:E,$F$1,'MAIN DATASET'!B:B,'Financial aid by type'!B10)/1000000000</f>
        <v>0</v>
      </c>
      <c r="G10" s="358">
        <f t="shared" si="0"/>
        <v>0.02</v>
      </c>
      <c r="N10" s="362"/>
      <c r="Q10" s="358"/>
      <c r="R10" s="358"/>
      <c r="S10" s="358"/>
      <c r="T10" s="363"/>
      <c r="U10" s="358"/>
      <c r="V10" s="358"/>
      <c r="W10" s="358"/>
      <c r="X10" s="358"/>
      <c r="Y10" s="358"/>
    </row>
    <row r="11" spans="1:33">
      <c r="B11" s="281" t="s">
        <v>666</v>
      </c>
      <c r="C11" s="358">
        <f>SUMIFS('MAIN DATASET'!R:R,'MAIN DATASET'!E:E,$C$1,'MAIN DATASET'!B:B,'Financial aid by type'!B11)/1000000000</f>
        <v>0</v>
      </c>
      <c r="D11" s="307">
        <f>SUMIFS('MAIN DATASET'!R:R,'MAIN DATASET'!E:E,$D$1,'MAIN DATASET'!B:B,'Financial aid by type'!B11)/1000000000</f>
        <v>0</v>
      </c>
      <c r="E11" s="359">
        <f>SUMIFS('MAIN DATASET'!R:R,'MAIN DATASET'!E:E,$E$1,'MAIN DATASET'!B:B,'Financial aid by type'!B11)/1000000000</f>
        <v>0</v>
      </c>
      <c r="F11" s="307">
        <f>SUMIFS('MAIN DATASET'!R:R,'MAIN DATASET'!E:E,$F$1,'MAIN DATASET'!B:B,'Financial aid by type'!B11)/1000000000</f>
        <v>0</v>
      </c>
      <c r="G11" s="358">
        <f t="shared" si="0"/>
        <v>0</v>
      </c>
      <c r="N11" s="362"/>
      <c r="Q11" s="358"/>
      <c r="R11" s="358"/>
      <c r="S11" s="358"/>
      <c r="T11" s="363"/>
      <c r="U11" s="358"/>
      <c r="V11" s="358"/>
      <c r="W11" s="358"/>
      <c r="X11" s="358"/>
      <c r="Y11" s="358"/>
    </row>
    <row r="12" spans="1:33">
      <c r="B12" s="281" t="s">
        <v>2015</v>
      </c>
      <c r="C12" s="358">
        <f>SUMIFS('MAIN DATASET'!R:R,'MAIN DATASET'!E:E,$C$1,'MAIN DATASET'!B:B,'Financial aid by type'!B12)/1000000000</f>
        <v>10.199999999999999</v>
      </c>
      <c r="D12" s="307">
        <f>SUMIFS('MAIN DATASET'!R:R,'MAIN DATASET'!E:E,$D$1,'MAIN DATASET'!B:B,'Financial aid by type'!B12)/1000000000</f>
        <v>0.12</v>
      </c>
      <c r="E12" s="359">
        <f>SUMIFS('MAIN DATASET'!R:R,'MAIN DATASET'!E:E,$E$1,'MAIN DATASET'!B:B,'Financial aid by type'!B12)/1000000000</f>
        <v>0</v>
      </c>
      <c r="F12" s="307">
        <f>SUMIFS('MAIN DATASET'!R:R,'MAIN DATASET'!E:E,$F$1,'MAIN DATASET'!B:B,'Financial aid by type'!B12)/1000000000</f>
        <v>0</v>
      </c>
      <c r="G12" s="358">
        <f t="shared" si="0"/>
        <v>10.319999999999999</v>
      </c>
      <c r="N12" s="362"/>
      <c r="Q12" s="358"/>
      <c r="R12" s="358"/>
      <c r="S12" s="358"/>
      <c r="T12" s="363"/>
      <c r="U12" s="358"/>
      <c r="V12" s="358"/>
      <c r="W12" s="358"/>
      <c r="X12" s="358"/>
      <c r="Y12" s="358"/>
    </row>
    <row r="13" spans="1:33">
      <c r="B13" s="281" t="s">
        <v>701</v>
      </c>
      <c r="C13" s="358">
        <f>SUMIFS('MAIN DATASET'!R:R,'MAIN DATASET'!E:E,$C$1,'MAIN DATASET'!B:B,'Financial aid by type'!B13)/1000000000</f>
        <v>0</v>
      </c>
      <c r="D13" s="307">
        <f>SUMIFS('MAIN DATASET'!R:R,'MAIN DATASET'!E:E,$D$1,'MAIN DATASET'!B:B,'Financial aid by type'!B13)/1000000000</f>
        <v>7.4999999999999997E-2</v>
      </c>
      <c r="E13" s="359">
        <f>SUMIFS('MAIN DATASET'!R:R,'MAIN DATASET'!E:E,$E$1,'MAIN DATASET'!B:B,'Financial aid by type'!B13)/1000000000</f>
        <v>0</v>
      </c>
      <c r="F13" s="307">
        <f>SUMIFS('MAIN DATASET'!R:R,'MAIN DATASET'!E:E,$F$1,'MAIN DATASET'!B:B,'Financial aid by type'!B13)/1000000000</f>
        <v>0</v>
      </c>
      <c r="G13" s="358">
        <f t="shared" si="0"/>
        <v>7.4999999999999997E-2</v>
      </c>
      <c r="N13" s="362"/>
      <c r="Q13" s="358"/>
      <c r="R13" s="358"/>
      <c r="S13" s="358"/>
      <c r="T13" s="363"/>
      <c r="U13" s="358"/>
      <c r="V13" s="358"/>
      <c r="W13" s="358"/>
      <c r="X13" s="358"/>
      <c r="Y13" s="358"/>
    </row>
    <row r="14" spans="1:33">
      <c r="B14" s="281" t="s">
        <v>763</v>
      </c>
      <c r="C14" s="358">
        <f>SUMIFS('MAIN DATASET'!R:R,'MAIN DATASET'!E:E,$C$1,'MAIN DATASET'!B:B,'Financial aid by type'!B14)/1000000000</f>
        <v>0.8</v>
      </c>
      <c r="D14" s="307">
        <f>SUMIFS('MAIN DATASET'!R:R,'MAIN DATASET'!E:E,$D$1,'MAIN DATASET'!B:B,'Financial aid by type'!B14)/1000000000</f>
        <v>0</v>
      </c>
      <c r="E14" s="359">
        <f>SUMIFS('MAIN DATASET'!R:R,'MAIN DATASET'!E:E,$E$1,'MAIN DATASET'!B:B,'Financial aid by type'!B14)/1000000000</f>
        <v>0</v>
      </c>
      <c r="F14" s="307">
        <f>SUMIFS('MAIN DATASET'!R:R,'MAIN DATASET'!E:E,$F$1,'MAIN DATASET'!B:B,'Financial aid by type'!B14)/1000000000</f>
        <v>1</v>
      </c>
      <c r="G14" s="358">
        <f t="shared" si="0"/>
        <v>1.8</v>
      </c>
      <c r="N14" s="362"/>
      <c r="Q14" s="358"/>
      <c r="R14" s="358"/>
      <c r="S14" s="358"/>
      <c r="T14" s="363"/>
      <c r="U14" s="358"/>
      <c r="V14" s="358"/>
      <c r="W14" s="358"/>
      <c r="X14" s="358"/>
      <c r="Y14" s="358"/>
    </row>
    <row r="15" spans="1:33">
      <c r="B15" s="281" t="s">
        <v>840</v>
      </c>
      <c r="C15" s="358">
        <f>SUMIFS('MAIN DATASET'!R:R,'MAIN DATASET'!E:E,$C$1,'MAIN DATASET'!B:B,'Financial aid by type'!B15)/1000000000</f>
        <v>0.15</v>
      </c>
      <c r="D15" s="307">
        <f>SUMIFS('MAIN DATASET'!R:R,'MAIN DATASET'!E:E,$D$1,'MAIN DATASET'!B:B,'Financial aid by type'!B15)/1000000000</f>
        <v>1</v>
      </c>
      <c r="E15" s="359">
        <f>SUMIFS('MAIN DATASET'!R:R,'MAIN DATASET'!E:E,$E$1,'MAIN DATASET'!B:B,'Financial aid by type'!B15)/1000000000</f>
        <v>0</v>
      </c>
      <c r="F15" s="307">
        <f>SUMIFS('MAIN DATASET'!R:R,'MAIN DATASET'!E:E,$F$1,'MAIN DATASET'!B:B,'Financial aid by type'!B15)/1000000000</f>
        <v>0</v>
      </c>
      <c r="G15" s="358">
        <f t="shared" si="0"/>
        <v>1.1499999999999999</v>
      </c>
      <c r="N15" s="362"/>
      <c r="Q15" s="358"/>
      <c r="R15" s="358"/>
      <c r="S15" s="358"/>
      <c r="T15" s="363"/>
      <c r="U15" s="358"/>
      <c r="V15" s="358"/>
      <c r="W15" s="358"/>
      <c r="X15" s="358"/>
      <c r="Y15" s="358"/>
    </row>
    <row r="16" spans="1:33">
      <c r="B16" s="281" t="s">
        <v>926</v>
      </c>
      <c r="C16" s="358">
        <f>SUMIFS('MAIN DATASET'!R:R,'MAIN DATASET'!E:E,$C$1,'MAIN DATASET'!B:B,'Financial aid by type'!B16)/1000000000</f>
        <v>0</v>
      </c>
      <c r="D16" s="307">
        <f>SUMIFS('MAIN DATASET'!R:R,'MAIN DATASET'!E:E,$D$1,'MAIN DATASET'!B:B,'Financial aid by type'!B16)/1000000000</f>
        <v>0</v>
      </c>
      <c r="E16" s="359">
        <f>SUMIFS('MAIN DATASET'!R:R,'MAIN DATASET'!E:E,$E$1,'MAIN DATASET'!B:B,'Financial aid by type'!B16)/1000000000</f>
        <v>0</v>
      </c>
      <c r="F16" s="307">
        <f>SUMIFS('MAIN DATASET'!R:R,'MAIN DATASET'!E:E,$F$1,'MAIN DATASET'!B:B,'Financial aid by type'!B16)/1000000000</f>
        <v>0</v>
      </c>
      <c r="G16" s="358">
        <f t="shared" si="0"/>
        <v>0</v>
      </c>
      <c r="N16" s="362"/>
      <c r="Q16" s="358"/>
      <c r="R16" s="358"/>
      <c r="S16" s="358"/>
      <c r="T16" s="363"/>
      <c r="U16" s="358"/>
      <c r="V16" s="358"/>
      <c r="W16" s="358"/>
      <c r="X16" s="358"/>
      <c r="Y16" s="358"/>
    </row>
    <row r="17" spans="2:25">
      <c r="B17" s="281" t="s">
        <v>963</v>
      </c>
      <c r="C17" s="358">
        <f>SUMIFS('MAIN DATASET'!R:R,'MAIN DATASET'!E:E,$C$1,'MAIN DATASET'!B:B,'Financial aid by type'!B17)/1000000000</f>
        <v>0</v>
      </c>
      <c r="D17" s="307">
        <f>SUMIFS('MAIN DATASET'!R:R,'MAIN DATASET'!E:E,$D$1,'MAIN DATASET'!B:B,'Financial aid by type'!B17)/1000000000</f>
        <v>0</v>
      </c>
      <c r="E17" s="359">
        <f>SUMIFS('MAIN DATASET'!R:R,'MAIN DATASET'!E:E,$E$1,'MAIN DATASET'!B:B,'Financial aid by type'!B17)/1000000000</f>
        <v>0</v>
      </c>
      <c r="F17" s="307">
        <f>SUMIFS('MAIN DATASET'!R:R,'MAIN DATASET'!E:E,$F$1,'MAIN DATASET'!B:B,'Financial aid by type'!B17)/1000000000</f>
        <v>0</v>
      </c>
      <c r="G17" s="358">
        <f t="shared" si="0"/>
        <v>0</v>
      </c>
      <c r="N17" s="362"/>
      <c r="Q17" s="358"/>
      <c r="R17" s="358"/>
      <c r="S17" s="358"/>
      <c r="T17" s="363"/>
      <c r="U17" s="358"/>
      <c r="V17" s="358"/>
      <c r="W17" s="358"/>
      <c r="X17" s="358"/>
      <c r="Y17" s="358"/>
    </row>
    <row r="18" spans="2:25">
      <c r="B18" s="281" t="s">
        <v>1006</v>
      </c>
      <c r="C18" s="358">
        <f>SUMIFS('MAIN DATASET'!R:R,'MAIN DATASET'!E:E,$C$1,'MAIN DATASET'!B:B,'Financial aid by type'!B18)/1000000000</f>
        <v>0</v>
      </c>
      <c r="D18" s="307">
        <f>SUMIFS('MAIN DATASET'!R:R,'MAIN DATASET'!E:E,$D$1,'MAIN DATASET'!B:B,'Financial aid by type'!B18)/1000000000</f>
        <v>0</v>
      </c>
      <c r="E18" s="359">
        <f>SUMIFS('MAIN DATASET'!R:R,'MAIN DATASET'!E:E,$E$1,'MAIN DATASET'!B:B,'Financial aid by type'!B18)/1000000000</f>
        <v>0</v>
      </c>
      <c r="F18" s="307">
        <f>SUMIFS('MAIN DATASET'!R:R,'MAIN DATASET'!E:E,$F$1,'MAIN DATASET'!B:B,'Financial aid by type'!B18)/1000000000</f>
        <v>0</v>
      </c>
      <c r="G18" s="358">
        <f t="shared" si="0"/>
        <v>0</v>
      </c>
      <c r="N18" s="362"/>
      <c r="Q18" s="358"/>
      <c r="R18" s="358"/>
      <c r="S18" s="358"/>
      <c r="T18" s="363"/>
      <c r="U18" s="358"/>
      <c r="V18" s="358"/>
      <c r="W18" s="358"/>
      <c r="X18" s="358"/>
      <c r="Y18" s="358"/>
    </row>
    <row r="19" spans="2:25">
      <c r="B19" s="281" t="s">
        <v>1036</v>
      </c>
      <c r="C19" s="358">
        <f>SUMIFS('MAIN DATASET'!R:R,'MAIN DATASET'!E:E,$C$1,'MAIN DATASET'!B:B,'Financial aid by type'!B19)/1000000000</f>
        <v>0.2</v>
      </c>
      <c r="D19" s="307">
        <f>SUMIFS('MAIN DATASET'!R:R,'MAIN DATASET'!E:E,$D$1,'MAIN DATASET'!B:B,'Financial aid by type'!B19)/1000000000</f>
        <v>0.127</v>
      </c>
      <c r="E19" s="359">
        <f>SUMIFS('MAIN DATASET'!R:R,'MAIN DATASET'!E:E,$E$1,'MAIN DATASET'!B:B,'Financial aid by type'!B19)/1000000000</f>
        <v>0</v>
      </c>
      <c r="F19" s="307">
        <f>SUMIFS('MAIN DATASET'!R:R,'MAIN DATASET'!E:E,$F$1,'MAIN DATASET'!B:B,'Financial aid by type'!B19)/1000000000</f>
        <v>0</v>
      </c>
      <c r="G19" s="358">
        <f t="shared" si="0"/>
        <v>0.32700000000000001</v>
      </c>
      <c r="N19" s="362"/>
      <c r="Q19" s="358"/>
      <c r="R19" s="358"/>
      <c r="S19" s="358"/>
      <c r="T19" s="363"/>
      <c r="U19" s="358"/>
      <c r="V19" s="358"/>
      <c r="W19" s="358"/>
      <c r="X19" s="358"/>
      <c r="Y19" s="358"/>
    </row>
    <row r="20" spans="2:25">
      <c r="B20" s="281" t="s">
        <v>1080</v>
      </c>
      <c r="C20" s="358">
        <f>SUMIFS('MAIN DATASET'!R:R,'MAIN DATASET'!E:E,$C$1,'MAIN DATASET'!B:B,'Financial aid by type'!B20)/1000000000</f>
        <v>0.56818181818181812</v>
      </c>
      <c r="D20" s="307">
        <f>SUMIFS('MAIN DATASET'!R:R,'MAIN DATASET'!E:E,$D$1,'MAIN DATASET'!B:B,'Financial aid by type'!B20)/1000000000</f>
        <v>0</v>
      </c>
      <c r="E20" s="359">
        <f>SUMIFS('MAIN DATASET'!R:R,'MAIN DATASET'!E:E,$E$1,'MAIN DATASET'!B:B,'Financial aid by type'!B20)/1000000000</f>
        <v>0</v>
      </c>
      <c r="F20" s="307">
        <f>SUMIFS('MAIN DATASET'!R:R,'MAIN DATASET'!E:E,$F$1,'MAIN DATASET'!B:B,'Financial aid by type'!B20)/1000000000</f>
        <v>0</v>
      </c>
      <c r="G20" s="358">
        <f t="shared" si="0"/>
        <v>0.56818181818181812</v>
      </c>
      <c r="N20" s="362"/>
      <c r="Q20" s="358"/>
      <c r="R20" s="358"/>
      <c r="S20" s="358"/>
      <c r="T20" s="363"/>
      <c r="U20" s="358"/>
      <c r="V20" s="358"/>
      <c r="W20" s="358"/>
      <c r="X20" s="358"/>
      <c r="Y20" s="358"/>
    </row>
    <row r="21" spans="2:25">
      <c r="B21" s="281" t="s">
        <v>1119</v>
      </c>
      <c r="C21" s="358">
        <f>SUMIFS('MAIN DATASET'!R:R,'MAIN DATASET'!E:E,$C$1,'MAIN DATASET'!B:B,'Financial aid by type'!B21)/1000000000</f>
        <v>0</v>
      </c>
      <c r="D21" s="307">
        <f>SUMIFS('MAIN DATASET'!R:R,'MAIN DATASET'!E:E,$D$1,'MAIN DATASET'!B:B,'Financial aid by type'!B21)/1000000000</f>
        <v>5.0000000000000001E-3</v>
      </c>
      <c r="E21" s="359">
        <f>SUMIFS('MAIN DATASET'!R:R,'MAIN DATASET'!E:E,$E$1,'MAIN DATASET'!B:B,'Financial aid by type'!B21)/1000000000</f>
        <v>0</v>
      </c>
      <c r="F21" s="307">
        <f>SUMIFS('MAIN DATASET'!R:R,'MAIN DATASET'!E:E,$F$1,'MAIN DATASET'!B:B,'Financial aid by type'!B21)/1000000000</f>
        <v>0.01</v>
      </c>
      <c r="G21" s="358">
        <f t="shared" si="0"/>
        <v>1.4999999999999999E-2</v>
      </c>
      <c r="N21" s="362"/>
      <c r="Q21" s="358"/>
      <c r="R21" s="358"/>
      <c r="S21" s="358"/>
      <c r="T21" s="363"/>
      <c r="U21" s="358"/>
      <c r="V21" s="358"/>
      <c r="W21" s="358"/>
      <c r="X21" s="358"/>
      <c r="Y21" s="358"/>
    </row>
    <row r="22" spans="2:25">
      <c r="B22" s="281" t="s">
        <v>1147</v>
      </c>
      <c r="C22" s="358">
        <f>SUMIFS('MAIN DATASET'!R:R,'MAIN DATASET'!E:E,$C$1,'MAIN DATASET'!B:B,'Financial aid by type'!B22)/1000000000</f>
        <v>0</v>
      </c>
      <c r="D22" s="307">
        <f>SUMIFS('MAIN DATASET'!R:R,'MAIN DATASET'!E:E,$D$1,'MAIN DATASET'!B:B,'Financial aid by type'!B22)/1000000000</f>
        <v>5.0000000000000001E-3</v>
      </c>
      <c r="E22" s="359">
        <f>SUMIFS('MAIN DATASET'!R:R,'MAIN DATASET'!E:E,$E$1,'MAIN DATASET'!B:B,'Financial aid by type'!B22)/1000000000</f>
        <v>0</v>
      </c>
      <c r="F22" s="307">
        <f>SUMIFS('MAIN DATASET'!R:R,'MAIN DATASET'!E:E,$F$1,'MAIN DATASET'!B:B,'Financial aid by type'!B22)/1000000000</f>
        <v>0</v>
      </c>
      <c r="G22" s="358">
        <f t="shared" si="0"/>
        <v>5.0000000000000001E-3</v>
      </c>
      <c r="N22" s="362"/>
      <c r="Q22" s="358"/>
      <c r="R22" s="358"/>
      <c r="S22" s="358"/>
      <c r="T22" s="358"/>
      <c r="U22" s="358"/>
      <c r="V22" s="358"/>
      <c r="W22" s="358"/>
      <c r="X22" s="358"/>
      <c r="Y22" s="358"/>
    </row>
    <row r="23" spans="2:25">
      <c r="B23" s="281" t="s">
        <v>1187</v>
      </c>
      <c r="C23" s="358">
        <f>SUMIFS('MAIN DATASET'!R:R,'MAIN DATASET'!E:E,$C$1,'MAIN DATASET'!B:B,'Financial aid by type'!B23)/1000000000</f>
        <v>0</v>
      </c>
      <c r="D23" s="307">
        <f>SUMIFS('MAIN DATASET'!R:R,'MAIN DATASET'!E:E,$D$1,'MAIN DATASET'!B:B,'Financial aid by type'!B23)/1000000000</f>
        <v>0</v>
      </c>
      <c r="E23" s="359">
        <f>SUMIFS('MAIN DATASET'!R:R,'MAIN DATASET'!E:E,$E$1,'MAIN DATASET'!B:B,'Financial aid by type'!B23)/1000000000</f>
        <v>0</v>
      </c>
      <c r="F23" s="307">
        <f>SUMIFS('MAIN DATASET'!R:R,'MAIN DATASET'!E:E,$F$1,'MAIN DATASET'!B:B,'Financial aid by type'!B23)/1000000000</f>
        <v>0</v>
      </c>
      <c r="G23" s="358">
        <f t="shared" si="0"/>
        <v>0</v>
      </c>
      <c r="N23" s="362"/>
      <c r="Q23" s="358"/>
      <c r="R23" s="358"/>
      <c r="U23" s="358"/>
      <c r="V23" s="358"/>
      <c r="W23" s="358"/>
      <c r="X23" s="358"/>
      <c r="Y23" s="358"/>
    </row>
    <row r="24" spans="2:25">
      <c r="B24" s="281" t="s">
        <v>1207</v>
      </c>
      <c r="C24" s="358">
        <f>SUMIFS('MAIN DATASET'!R:R,'MAIN DATASET'!E:E,$C$1,'MAIN DATASET'!B:B,'Financial aid by type'!B24)/1000000000</f>
        <v>0</v>
      </c>
      <c r="D24" s="307">
        <f>SUMIFS('MAIN DATASET'!R:R,'MAIN DATASET'!E:E,$D$1,'MAIN DATASET'!B:B,'Financial aid by type'!B24)/1000000000</f>
        <v>0</v>
      </c>
      <c r="E24" s="359">
        <f>SUMIFS('MAIN DATASET'!R:R,'MAIN DATASET'!E:E,$E$1,'MAIN DATASET'!B:B,'Financial aid by type'!B24)/1000000000</f>
        <v>0</v>
      </c>
      <c r="F24" s="307">
        <f>SUMIFS('MAIN DATASET'!R:R,'MAIN DATASET'!E:E,$F$1,'MAIN DATASET'!B:B,'Financial aid by type'!B24)/1000000000</f>
        <v>0</v>
      </c>
      <c r="G24" s="358">
        <f t="shared" si="0"/>
        <v>0</v>
      </c>
      <c r="N24" s="362"/>
      <c r="Q24" s="358"/>
      <c r="U24" s="358"/>
      <c r="V24" s="358"/>
      <c r="W24" s="358"/>
      <c r="X24" s="358"/>
      <c r="Y24" s="358"/>
    </row>
    <row r="25" spans="2:25">
      <c r="B25" s="281" t="s">
        <v>1215</v>
      </c>
      <c r="C25" s="358">
        <f>SUMIFS('MAIN DATASET'!R:R,'MAIN DATASET'!E:E,$C$1,'MAIN DATASET'!B:B,'Financial aid by type'!B25)/1000000000</f>
        <v>0</v>
      </c>
      <c r="D25" s="307">
        <f>SUMIFS('MAIN DATASET'!R:R,'MAIN DATASET'!E:E,$D$1,'MAIN DATASET'!B:B,'Financial aid by type'!B25)/1000000000</f>
        <v>0</v>
      </c>
      <c r="E25" s="359">
        <f>SUMIFS('MAIN DATASET'!R:R,'MAIN DATASET'!E:E,$E$1,'MAIN DATASET'!B:B,'Financial aid by type'!B25)/1000000000</f>
        <v>0</v>
      </c>
      <c r="F25" s="307">
        <f>SUMIFS('MAIN DATASET'!R:R,'MAIN DATASET'!E:E,$F$1,'MAIN DATASET'!B:B,'Financial aid by type'!B25)/1000000000</f>
        <v>0.08</v>
      </c>
      <c r="G25" s="358">
        <f t="shared" si="0"/>
        <v>0.08</v>
      </c>
      <c r="N25" s="362"/>
      <c r="Q25" s="358"/>
      <c r="R25" s="358"/>
      <c r="S25" s="358"/>
      <c r="T25" s="358"/>
      <c r="U25" s="358"/>
      <c r="V25" s="358"/>
      <c r="W25" s="358"/>
      <c r="X25" s="358"/>
      <c r="Y25" s="358"/>
    </row>
    <row r="26" spans="2:25">
      <c r="B26" s="358" t="s">
        <v>1273</v>
      </c>
      <c r="C26" s="358">
        <f>SUMIFS('MAIN DATASET'!R:R,'MAIN DATASET'!E:E,$C$1,'MAIN DATASET'!B:B,'Financial aid by type'!B26)/1000000000</f>
        <v>0</v>
      </c>
      <c r="D26" s="307">
        <f>SUMIFS('MAIN DATASET'!R:R,'MAIN DATASET'!E:E,$D$1,'MAIN DATASET'!B:B,'Financial aid by type'!B26)/1000000000</f>
        <v>0</v>
      </c>
      <c r="E26" s="359">
        <f>SUMIFS('MAIN DATASET'!R:R,'MAIN DATASET'!E:E,$E$1,'MAIN DATASET'!B:B,'Financial aid by type'!B26)/1000000000</f>
        <v>0</v>
      </c>
      <c r="F26" s="307">
        <f>SUMIFS('MAIN DATASET'!R:R,'MAIN DATASET'!E:E,$F$1,'MAIN DATASET'!B:B,'Financial aid by type'!B26)/1000000000</f>
        <v>0</v>
      </c>
      <c r="G26" s="358">
        <f t="shared" si="0"/>
        <v>0</v>
      </c>
      <c r="N26" s="362"/>
      <c r="Q26" s="358"/>
      <c r="R26" s="358"/>
      <c r="S26" s="358"/>
      <c r="T26" s="358"/>
      <c r="U26" s="358"/>
      <c r="V26" s="358"/>
      <c r="W26" s="358"/>
      <c r="X26" s="358"/>
      <c r="Y26" s="358"/>
    </row>
    <row r="27" spans="2:25">
      <c r="B27" s="358" t="s">
        <v>1306</v>
      </c>
      <c r="C27" s="358">
        <f>SUMIFS('MAIN DATASET'!R:R,'MAIN DATASET'!E:E,$C$1,'MAIN DATASET'!B:B,'Financial aid by type'!B27)/1000000000</f>
        <v>0</v>
      </c>
      <c r="D27" s="307">
        <f>SUMIFS('MAIN DATASET'!R:R,'MAIN DATASET'!E:E,$D$1,'MAIN DATASET'!B:B,'Financial aid by type'!B27)/1000000000</f>
        <v>3.3980252618906609E-2</v>
      </c>
      <c r="E27" s="359">
        <f>SUMIFS('MAIN DATASET'!R:R,'MAIN DATASET'!E:E,$E$1,'MAIN DATASET'!B:B,'Financial aid by type'!B27)/1000000000</f>
        <v>0</v>
      </c>
      <c r="F27" s="307">
        <f>SUMIFS('MAIN DATASET'!R:R,'MAIN DATASET'!E:E,$F$1,'MAIN DATASET'!B:B,'Financial aid by type'!B27)/1000000000</f>
        <v>0</v>
      </c>
      <c r="G27" s="358">
        <f t="shared" si="0"/>
        <v>3.3980252618906609E-2</v>
      </c>
      <c r="N27" s="362"/>
      <c r="Q27" s="358"/>
      <c r="R27" s="358"/>
      <c r="S27" s="358"/>
      <c r="T27" s="363"/>
      <c r="U27" s="358"/>
      <c r="V27" s="358"/>
      <c r="W27" s="358"/>
      <c r="X27" s="358"/>
      <c r="Y27" s="358"/>
    </row>
    <row r="28" spans="2:25">
      <c r="B28" s="281" t="s">
        <v>1364</v>
      </c>
      <c r="C28" s="358">
        <f>SUMIFS('MAIN DATASET'!R:R,'MAIN DATASET'!E:E,$C$1,'MAIN DATASET'!B:B,'Financial aid by type'!B28)/1000000000</f>
        <v>0</v>
      </c>
      <c r="D28" s="307">
        <f>SUMIFS('MAIN DATASET'!R:R,'MAIN DATASET'!E:E,$D$1,'MAIN DATASET'!B:B,'Financial aid by type'!B28)/1000000000</f>
        <v>6.4514741618459824E-3</v>
      </c>
      <c r="E28" s="359">
        <f>SUMIFS('MAIN DATASET'!R:R,'MAIN DATASET'!E:E,$E$1,'MAIN DATASET'!B:B,'Financial aid by type'!B28)/1000000000</f>
        <v>0.94696969696969691</v>
      </c>
      <c r="F28" s="307">
        <f>SUMIFS('MAIN DATASET'!R:R,'MAIN DATASET'!E:E,$F$1,'MAIN DATASET'!B:B,'Financial aid by type'!B28)/1000000000</f>
        <v>0</v>
      </c>
      <c r="G28" s="358">
        <f t="shared" si="0"/>
        <v>0.9534211711315429</v>
      </c>
      <c r="N28" s="362"/>
      <c r="Q28" s="358"/>
      <c r="R28" s="358"/>
      <c r="S28" s="358"/>
      <c r="T28" s="363"/>
      <c r="U28" s="358"/>
      <c r="V28" s="358"/>
      <c r="W28" s="358"/>
      <c r="X28" s="358"/>
      <c r="Y28" s="358"/>
    </row>
    <row r="29" spans="2:25">
      <c r="B29" s="281" t="s">
        <v>1408</v>
      </c>
      <c r="C29" s="358">
        <f>SUMIFS('MAIN DATASET'!R:R,'MAIN DATASET'!E:E,$C$1,'MAIN DATASET'!B:B,'Financial aid by type'!B29)/1000000000</f>
        <v>0</v>
      </c>
      <c r="D29" s="307">
        <f>SUMIFS('MAIN DATASET'!R:R,'MAIN DATASET'!E:E,$D$1,'MAIN DATASET'!B:B,'Financial aid by type'!B29)/1000000000</f>
        <v>0.25</v>
      </c>
      <c r="E29" s="359">
        <f>SUMIFS('MAIN DATASET'!R:R,'MAIN DATASET'!E:E,$E$1,'MAIN DATASET'!B:B,'Financial aid by type'!B29)/1000000000</f>
        <v>0</v>
      </c>
      <c r="F29" s="307">
        <f>SUMIFS('MAIN DATASET'!R:R,'MAIN DATASET'!E:E,$F$1,'MAIN DATASET'!B:B,'Financial aid by type'!B29)/1000000000</f>
        <v>0</v>
      </c>
      <c r="G29" s="358">
        <f t="shared" si="0"/>
        <v>0.25</v>
      </c>
      <c r="N29" s="362"/>
      <c r="Q29" s="358"/>
      <c r="R29" s="358"/>
      <c r="S29" s="358"/>
      <c r="T29" s="363"/>
      <c r="U29" s="358"/>
      <c r="V29" s="358"/>
      <c r="W29" s="358"/>
      <c r="X29" s="358"/>
      <c r="Y29" s="358"/>
    </row>
    <row r="30" spans="2:25">
      <c r="B30" s="358" t="s">
        <v>1449</v>
      </c>
      <c r="C30" s="358">
        <f>SUMIFS('MAIN DATASET'!R:R,'MAIN DATASET'!E:E,$C$1,'MAIN DATASET'!B:B,'Financial aid by type'!B30)/1000000000</f>
        <v>0</v>
      </c>
      <c r="D30" s="307">
        <f>SUMIFS('MAIN DATASET'!R:R,'MAIN DATASET'!E:E,$D$1,'MAIN DATASET'!B:B,'Financial aid by type'!B30)/1000000000</f>
        <v>0</v>
      </c>
      <c r="E30" s="359">
        <f>SUMIFS('MAIN DATASET'!R:R,'MAIN DATASET'!E:E,$E$1,'MAIN DATASET'!B:B,'Financial aid by type'!B30)/1000000000</f>
        <v>0</v>
      </c>
      <c r="F30" s="307">
        <f>SUMIFS('MAIN DATASET'!R:R,'MAIN DATASET'!E:E,$F$1,'MAIN DATASET'!B:B,'Financial aid by type'!B30)/1000000000</f>
        <v>0</v>
      </c>
      <c r="G30" s="358">
        <f t="shared" si="0"/>
        <v>0</v>
      </c>
      <c r="N30" s="362"/>
      <c r="Q30" s="358"/>
      <c r="R30" s="358"/>
      <c r="S30" s="358"/>
      <c r="T30" s="363"/>
      <c r="U30" s="358"/>
      <c r="V30" s="358"/>
      <c r="W30" s="358"/>
      <c r="X30" s="358"/>
      <c r="Y30" s="358"/>
    </row>
    <row r="31" spans="2:25">
      <c r="B31" s="281" t="s">
        <v>1478</v>
      </c>
      <c r="C31" s="358">
        <f>SUMIFS('MAIN DATASET'!R:R,'MAIN DATASET'!E:E,$C$1,'MAIN DATASET'!B:B,'Financial aid by type'!B31)/1000000000</f>
        <v>0</v>
      </c>
      <c r="D31" s="307">
        <f>SUMIFS('MAIN DATASET'!R:R,'MAIN DATASET'!E:E,$D$1,'MAIN DATASET'!B:B,'Financial aid by type'!B31)/1000000000</f>
        <v>0</v>
      </c>
      <c r="E31" s="359">
        <f>SUMIFS('MAIN DATASET'!R:R,'MAIN DATASET'!E:E,$E$1,'MAIN DATASET'!B:B,'Financial aid by type'!B31)/1000000000</f>
        <v>0</v>
      </c>
      <c r="F31" s="307">
        <f>SUMIFS('MAIN DATASET'!R:R,'MAIN DATASET'!E:E,$F$1,'MAIN DATASET'!B:B,'Financial aid by type'!B31)/1000000000</f>
        <v>0</v>
      </c>
      <c r="G31" s="358">
        <f t="shared" si="0"/>
        <v>0</v>
      </c>
      <c r="N31" s="362"/>
      <c r="Q31" s="358"/>
      <c r="R31" s="358"/>
      <c r="S31" s="358"/>
      <c r="T31" s="363"/>
      <c r="U31" s="358"/>
      <c r="V31" s="358"/>
      <c r="W31" s="358"/>
      <c r="X31" s="358"/>
      <c r="Y31" s="358"/>
    </row>
    <row r="32" spans="2:25">
      <c r="B32" s="281" t="s">
        <v>1507</v>
      </c>
      <c r="C32" s="358">
        <f>SUMIFS('MAIN DATASET'!R:R,'MAIN DATASET'!E:E,$C$1,'MAIN DATASET'!B:B,'Financial aid by type'!B32)/1000000000</f>
        <v>0</v>
      </c>
      <c r="D32" s="307">
        <f>SUMIFS('MAIN DATASET'!R:R,'MAIN DATASET'!E:E,$D$1,'MAIN DATASET'!B:B,'Financial aid by type'!B32)/1000000000</f>
        <v>0</v>
      </c>
      <c r="E32" s="359">
        <f>SUMIFS('MAIN DATASET'!R:R,'MAIN DATASET'!E:E,$E$1,'MAIN DATASET'!B:B,'Financial aid by type'!B32)/1000000000</f>
        <v>0</v>
      </c>
      <c r="F32" s="307">
        <f>SUMIFS('MAIN DATASET'!R:R,'MAIN DATASET'!E:E,$F$1,'MAIN DATASET'!B:B,'Financial aid by type'!B32)/1000000000</f>
        <v>0</v>
      </c>
      <c r="G32" s="358">
        <f t="shared" si="0"/>
        <v>0</v>
      </c>
      <c r="N32" s="362"/>
      <c r="Q32" s="358"/>
      <c r="R32" s="358"/>
      <c r="S32" s="358"/>
      <c r="T32" s="363"/>
      <c r="U32" s="358"/>
      <c r="V32" s="358"/>
      <c r="W32" s="358"/>
      <c r="X32" s="358"/>
      <c r="Y32" s="358"/>
    </row>
    <row r="33" spans="1:27">
      <c r="B33" s="281" t="s">
        <v>1546</v>
      </c>
      <c r="C33" s="358">
        <f>SUMIFS('MAIN DATASET'!R:R,'MAIN DATASET'!E:E,$C$1,'MAIN DATASET'!B:B,'Financial aid by type'!B33)/1000000000</f>
        <v>0</v>
      </c>
      <c r="D33" s="307">
        <f>SUMIFS('MAIN DATASET'!R:R,'MAIN DATASET'!E:E,$D$1,'MAIN DATASET'!B:B,'Financial aid by type'!B33)/1000000000</f>
        <v>1E-4</v>
      </c>
      <c r="E33" s="359">
        <f>SUMIFS('MAIN DATASET'!R:R,'MAIN DATASET'!E:E,$E$1,'MAIN DATASET'!B:B,'Financial aid by type'!B33)/1000000000</f>
        <v>0</v>
      </c>
      <c r="F33" s="307">
        <f>SUMIFS('MAIN DATASET'!R:R,'MAIN DATASET'!E:E,$F$1,'MAIN DATASET'!B:B,'Financial aid by type'!B33)/1000000000</f>
        <v>0</v>
      </c>
      <c r="G33" s="358">
        <f t="shared" si="0"/>
        <v>1E-4</v>
      </c>
      <c r="N33" s="362"/>
      <c r="Q33" s="358"/>
      <c r="R33" s="358"/>
      <c r="S33" s="358"/>
      <c r="T33" s="363"/>
      <c r="U33" s="358"/>
      <c r="V33" s="358"/>
      <c r="W33" s="358"/>
      <c r="X33" s="358"/>
      <c r="Y33" s="358"/>
    </row>
    <row r="34" spans="1:27">
      <c r="B34" s="281" t="s">
        <v>1587</v>
      </c>
      <c r="C34" s="358">
        <f>SUMIFS('MAIN DATASET'!R:R,'MAIN DATASET'!E:E,$C$1,'MAIN DATASET'!B:B,'Financial aid by type'!B34)/1000000000</f>
        <v>0</v>
      </c>
      <c r="D34" s="307">
        <f>SUMIFS('MAIN DATASET'!R:R,'MAIN DATASET'!E:E,$D$1,'MAIN DATASET'!B:B,'Financial aid by type'!B34)/1000000000</f>
        <v>0</v>
      </c>
      <c r="E34" s="359">
        <f>SUMIFS('MAIN DATASET'!R:R,'MAIN DATASET'!E:E,$E$1,'MAIN DATASET'!B:B,'Financial aid by type'!B34)/1000000000</f>
        <v>0</v>
      </c>
      <c r="F34" s="307">
        <f>SUMIFS('MAIN DATASET'!R:R,'MAIN DATASET'!E:E,$F$1,'MAIN DATASET'!B:B,'Financial aid by type'!B34)/1000000000</f>
        <v>0</v>
      </c>
      <c r="G34" s="358">
        <f t="shared" si="0"/>
        <v>0</v>
      </c>
      <c r="N34" s="362"/>
      <c r="Q34" s="358"/>
      <c r="R34" s="358"/>
      <c r="S34" s="358"/>
      <c r="T34" s="363"/>
      <c r="U34" s="358"/>
      <c r="V34" s="358"/>
      <c r="W34" s="358"/>
      <c r="X34" s="358"/>
      <c r="Y34" s="358"/>
    </row>
    <row r="35" spans="1:27">
      <c r="B35" s="281" t="s">
        <v>1645</v>
      </c>
      <c r="C35" s="358">
        <f>SUMIFS('MAIN DATASET'!R:R,'MAIN DATASET'!E:E,$C$1,'MAIN DATASET'!B:B,'Financial aid by type'!B35)/1000000000</f>
        <v>0</v>
      </c>
      <c r="D35" s="307">
        <f>SUMIFS('MAIN DATASET'!R:R,'MAIN DATASET'!E:E,$D$1,'MAIN DATASET'!B:B,'Financial aid by type'!B35)/1000000000</f>
        <v>0.10727550385550801</v>
      </c>
      <c r="E35" s="359">
        <f>SUMIFS('MAIN DATASET'!R:R,'MAIN DATASET'!E:E,$E$1,'MAIN DATASET'!B:B,'Financial aid by type'!B35)/1000000000</f>
        <v>0</v>
      </c>
      <c r="F35" s="307">
        <f>SUMIFS('MAIN DATASET'!R:R,'MAIN DATASET'!E:E,$F$1,'MAIN DATASET'!B:B,'Financial aid by type'!B35)/1000000000</f>
        <v>9.1348484848484846E-2</v>
      </c>
      <c r="G35" s="358">
        <f t="shared" si="0"/>
        <v>0.19862398870399284</v>
      </c>
      <c r="N35" s="362"/>
      <c r="Q35" s="358"/>
      <c r="R35" s="358"/>
      <c r="S35" s="358"/>
      <c r="T35" s="363"/>
      <c r="U35" s="358"/>
      <c r="V35" s="358"/>
      <c r="W35" s="358"/>
      <c r="X35" s="358"/>
      <c r="Y35" s="358"/>
    </row>
    <row r="36" spans="1:27">
      <c r="B36" s="358" t="s">
        <v>1694</v>
      </c>
      <c r="C36" s="358">
        <f>SUMIFS('MAIN DATASET'!R:R,'MAIN DATASET'!E:E,$C$1,'MAIN DATASET'!B:B,'Financial aid by type'!B36)/1000000000</f>
        <v>0</v>
      </c>
      <c r="D36" s="307">
        <f>SUMIFS('MAIN DATASET'!R:R,'MAIN DATASET'!E:E,$D$1,'MAIN DATASET'!B:B,'Financial aid by type'!B36)/1000000000</f>
        <v>0</v>
      </c>
      <c r="E36" s="359">
        <f>SUMIFS('MAIN DATASET'!R:R,'MAIN DATASET'!E:E,$E$1,'MAIN DATASET'!B:B,'Financial aid by type'!B36)/1000000000</f>
        <v>0</v>
      </c>
      <c r="F36" s="307">
        <f>SUMIFS('MAIN DATASET'!R:R,'MAIN DATASET'!E:E,$F$1,'MAIN DATASET'!B:B,'Financial aid by type'!B36)/1000000000</f>
        <v>0</v>
      </c>
      <c r="G36" s="358">
        <f t="shared" si="0"/>
        <v>0</v>
      </c>
      <c r="N36" s="362"/>
      <c r="Q36" s="358"/>
      <c r="R36" s="358"/>
      <c r="S36" s="358"/>
      <c r="T36" s="363"/>
      <c r="U36" s="358"/>
      <c r="V36" s="358"/>
      <c r="W36" s="358"/>
      <c r="X36" s="358"/>
      <c r="Y36" s="358"/>
    </row>
    <row r="37" spans="1:27">
      <c r="B37" s="358" t="s">
        <v>1702</v>
      </c>
      <c r="C37" s="358">
        <f>SUMIFS('MAIN DATASET'!R:R,'MAIN DATASET'!E:E,$C$1,'MAIN DATASET'!B:B,'Financial aid by type'!B37)/1000000000</f>
        <v>0</v>
      </c>
      <c r="D37" s="307">
        <f>SUMIFS('MAIN DATASET'!R:R,'MAIN DATASET'!E:E,$D$1,'MAIN DATASET'!B:B,'Financial aid by type'!B37)/1000000000</f>
        <v>0</v>
      </c>
      <c r="E37" s="359">
        <f>SUMIFS('MAIN DATASET'!R:R,'MAIN DATASET'!E:E,$E$1,'MAIN DATASET'!B:B,'Financial aid by type'!B37)/1000000000</f>
        <v>0</v>
      </c>
      <c r="F37" s="307">
        <f>SUMIFS('MAIN DATASET'!R:R,'MAIN DATASET'!E:E,$F$1,'MAIN DATASET'!B:B,'Financial aid by type'!B37)/1000000000</f>
        <v>0</v>
      </c>
      <c r="G37" s="358">
        <f t="shared" si="0"/>
        <v>0</v>
      </c>
      <c r="N37" s="362"/>
      <c r="Q37" s="358"/>
      <c r="R37" s="358"/>
      <c r="S37" s="358"/>
      <c r="T37" s="363"/>
      <c r="U37" s="358"/>
      <c r="V37" s="358"/>
      <c r="W37" s="358"/>
      <c r="X37" s="358"/>
      <c r="Y37" s="358"/>
    </row>
    <row r="38" spans="1:27">
      <c r="B38" s="281" t="s">
        <v>1741</v>
      </c>
      <c r="C38" s="358">
        <f>SUMIFS('MAIN DATASET'!R:R,'MAIN DATASET'!E:E,$C$1,'MAIN DATASET'!B:B,'Financial aid by type'!B38)/1000000000</f>
        <v>0.5827641669968997</v>
      </c>
      <c r="D38" s="307">
        <f>SUMIFS('MAIN DATASET'!R:R,'MAIN DATASET'!E:E,$D$1,'MAIN DATASET'!B:B,'Financial aid by type'!B38)/1000000000</f>
        <v>0.64305001635271586</v>
      </c>
      <c r="E38" s="359">
        <f>SUMIFS('MAIN DATASET'!R:R,'MAIN DATASET'!E:E,$E$1,'MAIN DATASET'!B:B,'Financial aid by type'!B38)/1000000000</f>
        <v>0</v>
      </c>
      <c r="F38" s="307">
        <f>SUMIFS('MAIN DATASET'!R:R,'MAIN DATASET'!E:E,$F$1,'MAIN DATASET'!B:B,'Financial aid by type'!B38)/1000000000</f>
        <v>0.85083568381547359</v>
      </c>
      <c r="G38" s="358">
        <f t="shared" si="0"/>
        <v>2.0766498671650893</v>
      </c>
      <c r="N38" s="362"/>
      <c r="Q38" s="358"/>
      <c r="R38" s="358"/>
      <c r="S38" s="358"/>
      <c r="T38" s="363"/>
      <c r="U38" s="358"/>
      <c r="V38" s="358"/>
      <c r="W38" s="358"/>
      <c r="X38" s="358"/>
      <c r="Y38" s="358"/>
    </row>
    <row r="39" spans="1:27">
      <c r="B39" s="281" t="s">
        <v>1837</v>
      </c>
      <c r="C39" s="358">
        <f>SUMIFS('MAIN DATASET'!R:R,'MAIN DATASET'!E:E,$C$1,'MAIN DATASET'!B:B,'Financial aid by type'!B39)/1000000000</f>
        <v>0.47348484848484845</v>
      </c>
      <c r="D39" s="307">
        <f>SUMIFS('MAIN DATASET'!R:R,'MAIN DATASET'!E:E,$D$1,'MAIN DATASET'!B:B,'Financial aid by type'!B39)/1000000000</f>
        <v>9.2386363636363633</v>
      </c>
      <c r="E39" s="359">
        <f>SUMIFS('MAIN DATASET'!R:R,'MAIN DATASET'!E:E,$E$1,'MAIN DATASET'!B:B,'Financial aid by type'!B39)/1000000000</f>
        <v>0</v>
      </c>
      <c r="F39" s="307">
        <f>SUMIFS('MAIN DATASET'!R:R,'MAIN DATASET'!E:E,$F$1,'MAIN DATASET'!B:B,'Financial aid by type'!B39)/1000000000</f>
        <v>0.94696969696969691</v>
      </c>
      <c r="G39" s="358">
        <f t="shared" si="0"/>
        <v>10.659090909090908</v>
      </c>
      <c r="N39" s="362"/>
      <c r="Q39" s="358"/>
      <c r="R39" s="358"/>
      <c r="S39" s="358"/>
      <c r="T39" s="363"/>
      <c r="U39" s="358"/>
      <c r="V39" s="358"/>
      <c r="W39" s="358"/>
      <c r="X39" s="358"/>
      <c r="Y39" s="358"/>
    </row>
    <row r="40" spans="1:27" s="286" customFormat="1">
      <c r="A40" s="418"/>
      <c r="B40" s="286" t="s">
        <v>2060</v>
      </c>
      <c r="C40" s="493">
        <f>SUMIFS('MAIN DATASET'!R:R,'MAIN DATASET'!E:E,$C$1,'MAIN DATASET'!B:B,'Financial aid by type'!B40)/1000000000</f>
        <v>2</v>
      </c>
      <c r="D40" s="494">
        <f>SUMIFS('MAIN DATASET'!R:R,'MAIN DATASET'!E:E,$D$1,'MAIN DATASET'!B:B,'Financial aid by type'!B40)/1000000000</f>
        <v>2.5000000000000001E-3</v>
      </c>
      <c r="E40" s="495">
        <f>SUMIFS('MAIN DATASET'!R:R,'MAIN DATASET'!E:E,$E$1,'MAIN DATASET'!B:B,'Financial aid by type'!B40)/1000000000</f>
        <v>0</v>
      </c>
      <c r="F40" s="494">
        <f>SUMIFS('MAIN DATASET'!R:R,'MAIN DATASET'!E:E,$F$1,'MAIN DATASET'!B:B,'Financial aid by type'!B40)/1000000000</f>
        <v>0</v>
      </c>
      <c r="G40" s="493">
        <f t="shared" si="0"/>
        <v>2.0024999999999999</v>
      </c>
      <c r="M40" s="496"/>
      <c r="O40" s="497"/>
      <c r="Q40" s="493"/>
      <c r="R40" s="493"/>
      <c r="S40" s="493"/>
      <c r="T40" s="498"/>
      <c r="U40" s="493"/>
      <c r="V40" s="493"/>
      <c r="W40" s="493"/>
      <c r="X40" s="493"/>
      <c r="Y40" s="493"/>
      <c r="AA40" s="494"/>
    </row>
    <row r="41" spans="1:27">
      <c r="B41" s="281" t="s">
        <v>456</v>
      </c>
      <c r="C41" s="493">
        <f>SUMIFS('MAIN DATASET'!R:R,'MAIN DATASET'!E:E,$C$1,'MAIN DATASET'!B:B,'Financial aid by type'!B41)/1000000000</f>
        <v>0</v>
      </c>
      <c r="D41" s="494">
        <f>SUMIFS('MAIN DATASET'!R:R,'MAIN DATASET'!E:E,$D$1,'MAIN DATASET'!B:B,'Financial aid by type'!B41)/1000000000</f>
        <v>0</v>
      </c>
      <c r="E41" s="495">
        <f>SUMIFS('MAIN DATASET'!R:R,'MAIN DATASET'!E:E,$E$1,'MAIN DATASET'!B:B,'Financial aid by type'!B41)/1000000000</f>
        <v>0</v>
      </c>
      <c r="F41" s="494">
        <f>SUMIFS('MAIN DATASET'!R:R,'MAIN DATASET'!E:E,$F$1,'MAIN DATASET'!B:B,'Financial aid by type'!B41)/1000000000</f>
        <v>0</v>
      </c>
      <c r="G41" s="493">
        <f t="shared" si="0"/>
        <v>0</v>
      </c>
      <c r="Q41" s="358"/>
      <c r="R41" s="358"/>
      <c r="S41" s="358"/>
      <c r="T41" s="363"/>
      <c r="U41" s="358"/>
      <c r="V41" s="358"/>
      <c r="W41" s="358"/>
      <c r="X41" s="358"/>
      <c r="Y41" s="358"/>
    </row>
    <row r="42" spans="1:27">
      <c r="B42" s="281" t="s">
        <v>1721</v>
      </c>
      <c r="C42" s="493">
        <f>SUMIFS('MAIN DATASET'!R:R,'MAIN DATASET'!E:E,$C$1,'MAIN DATASET'!B:B,'Financial aid by type'!B42)/1000000000</f>
        <v>0</v>
      </c>
      <c r="D42" s="494">
        <f>SUMIFS('MAIN DATASET'!R:R,'MAIN DATASET'!E:E,$D$1,'MAIN DATASET'!B:B,'Financial aid by type'!B42)/1000000000</f>
        <v>1.1837121212121207E-2</v>
      </c>
      <c r="E42" s="495">
        <f>SUMIFS('MAIN DATASET'!R:R,'MAIN DATASET'!E:E,$E$1,'MAIN DATASET'!B:B,'Financial aid by type'!B42)/1000000000</f>
        <v>0</v>
      </c>
      <c r="F42" s="494">
        <f>SUMIFS('MAIN DATASET'!R:R,'MAIN DATASET'!E:E,$F$1,'MAIN DATASET'!B:B,'Financial aid by type'!B42)/1000000000</f>
        <v>0</v>
      </c>
      <c r="G42" s="493">
        <f t="shared" si="0"/>
        <v>1.1837121212121207E-2</v>
      </c>
      <c r="Q42" s="358"/>
      <c r="R42" s="358"/>
      <c r="S42" s="358"/>
      <c r="T42" s="363"/>
      <c r="U42" s="358"/>
      <c r="V42" s="358"/>
      <c r="W42" s="358"/>
      <c r="X42" s="358"/>
      <c r="Y42" s="358"/>
    </row>
    <row r="43" spans="1:27">
      <c r="B43" s="281" t="s">
        <v>998</v>
      </c>
      <c r="C43" s="493">
        <f>SUMIFS('MAIN DATASET'!R:R,'MAIN DATASET'!E:E,$C$1,'MAIN DATASET'!B:B,'Financial aid by type'!B43)/1000000000</f>
        <v>0</v>
      </c>
      <c r="D43" s="494">
        <f>SUMIFS('MAIN DATASET'!R:R,'MAIN DATASET'!E:E,$D$1,'MAIN DATASET'!B:B,'Financial aid by type'!B43)/1000000000</f>
        <v>0</v>
      </c>
      <c r="E43" s="495">
        <f>SUMIFS('MAIN DATASET'!R:R,'MAIN DATASET'!E:E,$E$1,'MAIN DATASET'!B:B,'Financial aid by type'!B43)/1000000000</f>
        <v>0</v>
      </c>
      <c r="F43" s="494">
        <f>SUMIFS('MAIN DATASET'!R:R,'MAIN DATASET'!E:E,$F$1,'MAIN DATASET'!B:B,'Financial aid by type'!B43)/1000000000</f>
        <v>0</v>
      </c>
      <c r="G43" s="493">
        <f t="shared" si="0"/>
        <v>0</v>
      </c>
      <c r="H43" s="362"/>
      <c r="Q43" s="358"/>
      <c r="R43" s="358"/>
      <c r="S43" s="358"/>
      <c r="T43" s="363"/>
      <c r="U43" s="358"/>
      <c r="V43" s="358"/>
      <c r="W43" s="358"/>
      <c r="X43" s="358"/>
      <c r="Y43" s="358"/>
    </row>
    <row r="44" spans="1:27">
      <c r="B44" s="358"/>
      <c r="E44" s="359"/>
      <c r="H44" s="362"/>
      <c r="U44" s="358"/>
      <c r="V44" s="358"/>
      <c r="W44" s="358"/>
      <c r="X44" s="358"/>
      <c r="Y44" s="358"/>
    </row>
    <row r="45" spans="1:27">
      <c r="E45" s="359"/>
      <c r="H45" s="362"/>
      <c r="Q45" s="358"/>
      <c r="R45" s="358"/>
      <c r="S45" s="358"/>
      <c r="T45" s="363"/>
      <c r="U45" s="358"/>
      <c r="V45" s="358"/>
      <c r="W45" s="358"/>
      <c r="X45" s="358"/>
      <c r="Y45" s="358"/>
    </row>
    <row r="46" spans="1:27">
      <c r="E46" s="359"/>
      <c r="Q46" s="358"/>
      <c r="R46" s="358"/>
      <c r="S46" s="358"/>
      <c r="T46" s="363"/>
      <c r="U46" s="358"/>
      <c r="V46" s="358"/>
      <c r="W46" s="358"/>
      <c r="X46" s="358"/>
      <c r="Y46" s="358"/>
    </row>
    <row r="47" spans="1:27">
      <c r="E47" s="359"/>
      <c r="Q47" s="358"/>
      <c r="R47" s="358"/>
      <c r="S47" s="358"/>
      <c r="T47" s="363"/>
      <c r="U47" s="358"/>
      <c r="V47" s="358"/>
      <c r="W47" s="358"/>
      <c r="X47" s="358"/>
      <c r="Y47" s="358"/>
    </row>
    <row r="48" spans="1:27">
      <c r="Q48" s="358"/>
      <c r="R48" s="358"/>
      <c r="S48" s="358"/>
      <c r="T48" s="363"/>
      <c r="U48" s="358"/>
      <c r="V48" s="358"/>
      <c r="W48" s="358"/>
      <c r="X48" s="358"/>
      <c r="Y48" s="358"/>
    </row>
    <row r="49" spans="2:25">
      <c r="Q49" s="358"/>
      <c r="R49" s="358"/>
      <c r="S49" s="358"/>
      <c r="T49" s="363"/>
      <c r="U49" s="358"/>
      <c r="V49" s="358"/>
      <c r="W49" s="358"/>
      <c r="X49" s="358"/>
      <c r="Y49" s="358"/>
    </row>
    <row r="50" spans="2:25">
      <c r="B50" s="230"/>
      <c r="Q50" s="358"/>
      <c r="R50" s="358"/>
      <c r="S50" s="358"/>
      <c r="T50" s="363"/>
      <c r="U50" s="358"/>
      <c r="V50" s="358"/>
      <c r="W50" s="358"/>
      <c r="X50" s="358"/>
      <c r="Y50" s="358"/>
    </row>
    <row r="51" spans="2:25">
      <c r="Q51" s="358"/>
      <c r="R51" s="358"/>
      <c r="S51" s="358"/>
      <c r="T51" s="363"/>
      <c r="U51" s="358"/>
      <c r="V51" s="358"/>
      <c r="W51" s="358"/>
      <c r="X51" s="358"/>
      <c r="Y51" s="358"/>
    </row>
    <row r="52" spans="2:25">
      <c r="B52" s="292"/>
      <c r="E52" s="359"/>
      <c r="Q52" s="358"/>
      <c r="R52" s="358"/>
      <c r="S52" s="358"/>
      <c r="T52" s="363"/>
      <c r="U52" s="358"/>
      <c r="V52" s="358"/>
      <c r="W52" s="358"/>
      <c r="X52" s="358"/>
      <c r="Y52" s="358"/>
    </row>
    <row r="53" spans="2:25">
      <c r="E53" s="358"/>
      <c r="Q53" s="358"/>
      <c r="R53" s="358"/>
      <c r="S53" s="358"/>
      <c r="T53" s="363"/>
      <c r="U53" s="358"/>
      <c r="V53" s="358"/>
      <c r="W53" s="358"/>
      <c r="X53" s="358"/>
      <c r="Y53" s="358"/>
    </row>
    <row r="54" spans="2:25">
      <c r="E54" s="364"/>
      <c r="Q54" s="358"/>
      <c r="R54" s="358"/>
      <c r="S54" s="358"/>
      <c r="T54" s="363"/>
      <c r="U54" s="358"/>
      <c r="V54" s="358"/>
      <c r="W54" s="358"/>
      <c r="X54" s="358"/>
      <c r="Y54" s="358"/>
    </row>
    <row r="55" spans="2:25">
      <c r="E55" s="359"/>
      <c r="Q55" s="358"/>
      <c r="R55" s="358"/>
      <c r="S55" s="358"/>
      <c r="T55" s="363"/>
      <c r="U55" s="358"/>
      <c r="V55" s="358"/>
      <c r="W55" s="358"/>
      <c r="X55" s="358"/>
      <c r="Y55" s="358"/>
    </row>
    <row r="56" spans="2:25">
      <c r="E56" s="359"/>
      <c r="Q56" s="358"/>
      <c r="R56" s="358"/>
      <c r="S56" s="358"/>
      <c r="T56" s="363"/>
      <c r="U56" s="358"/>
      <c r="V56" s="358"/>
      <c r="W56" s="358"/>
      <c r="X56" s="358"/>
      <c r="Y56" s="358"/>
    </row>
    <row r="57" spans="2:25">
      <c r="Q57" s="358"/>
      <c r="R57" s="358"/>
      <c r="S57" s="358"/>
      <c r="T57" s="363"/>
      <c r="U57" s="358"/>
      <c r="V57" s="358"/>
      <c r="W57" s="358"/>
      <c r="X57" s="358"/>
      <c r="Y57" s="358"/>
    </row>
    <row r="58" spans="2:25">
      <c r="Q58" s="358"/>
      <c r="R58" s="358"/>
      <c r="S58" s="358"/>
      <c r="T58" s="363"/>
      <c r="U58" s="358"/>
      <c r="V58" s="358"/>
      <c r="W58" s="358"/>
      <c r="X58" s="358"/>
      <c r="Y58" s="358"/>
    </row>
    <row r="59" spans="2:25">
      <c r="Q59" s="358"/>
      <c r="R59" s="358"/>
      <c r="S59" s="358"/>
      <c r="T59" s="363"/>
      <c r="U59" s="358"/>
      <c r="V59" s="358"/>
      <c r="W59" s="358"/>
      <c r="X59" s="358"/>
      <c r="Y59" s="358"/>
    </row>
    <row r="60" spans="2:25">
      <c r="Q60" s="358"/>
      <c r="R60" s="358"/>
      <c r="S60" s="358"/>
      <c r="T60" s="363"/>
      <c r="U60" s="358"/>
      <c r="V60" s="358"/>
      <c r="W60" s="358"/>
      <c r="X60" s="358"/>
      <c r="Y60" s="358"/>
    </row>
    <row r="61" spans="2:25">
      <c r="Q61" s="358"/>
      <c r="R61" s="358"/>
      <c r="S61" s="358"/>
      <c r="T61" s="363"/>
      <c r="U61" s="358"/>
      <c r="V61" s="358"/>
      <c r="W61" s="358"/>
      <c r="X61" s="358"/>
      <c r="Y61" s="358"/>
    </row>
    <row r="62" spans="2:25">
      <c r="Q62" s="358"/>
      <c r="R62" s="358"/>
      <c r="S62" s="358"/>
      <c r="T62" s="363"/>
      <c r="U62" s="358"/>
      <c r="V62" s="358"/>
      <c r="W62" s="358"/>
      <c r="X62" s="358"/>
      <c r="Y62" s="358"/>
    </row>
    <row r="63" spans="2:25">
      <c r="Q63" s="358"/>
      <c r="R63" s="358"/>
      <c r="S63" s="358"/>
      <c r="T63" s="363"/>
      <c r="U63" s="358"/>
      <c r="V63" s="358"/>
      <c r="W63" s="358"/>
      <c r="X63" s="358"/>
      <c r="Y63" s="358"/>
    </row>
    <row r="64" spans="2:25">
      <c r="Q64" s="358"/>
      <c r="R64" s="358"/>
      <c r="S64" s="358"/>
      <c r="T64" s="363"/>
      <c r="U64" s="358"/>
      <c r="V64" s="358"/>
      <c r="W64" s="358"/>
      <c r="X64" s="358"/>
      <c r="Y64" s="358"/>
    </row>
    <row r="65" spans="17:25">
      <c r="Q65" s="358"/>
      <c r="R65" s="358"/>
      <c r="S65" s="358"/>
      <c r="T65" s="363"/>
      <c r="U65" s="358"/>
      <c r="V65" s="358"/>
      <c r="W65" s="358"/>
      <c r="X65" s="358"/>
      <c r="Y65" s="358"/>
    </row>
    <row r="66" spans="17:25">
      <c r="Q66" s="358"/>
      <c r="R66" s="358"/>
      <c r="S66" s="358"/>
      <c r="T66" s="363"/>
      <c r="U66" s="358"/>
      <c r="V66" s="358"/>
      <c r="W66" s="358"/>
      <c r="X66" s="358"/>
      <c r="Y66" s="358"/>
    </row>
    <row r="67" spans="17:25">
      <c r="Q67" s="358"/>
      <c r="R67" s="358"/>
      <c r="S67" s="358"/>
      <c r="T67" s="363"/>
      <c r="U67" s="358"/>
      <c r="V67" s="358"/>
      <c r="W67" s="358"/>
      <c r="X67" s="358"/>
      <c r="Y67" s="358"/>
    </row>
    <row r="68" spans="17:25">
      <c r="Q68" s="358"/>
      <c r="R68" s="358"/>
      <c r="S68" s="358"/>
      <c r="T68" s="363"/>
      <c r="U68" s="358"/>
      <c r="V68" s="358"/>
      <c r="W68" s="358"/>
      <c r="X68" s="358"/>
      <c r="Y68" s="358"/>
    </row>
    <row r="69" spans="17:25">
      <c r="Q69" s="358"/>
      <c r="R69" s="358"/>
      <c r="S69" s="358"/>
      <c r="T69" s="363"/>
      <c r="U69" s="358"/>
      <c r="V69" s="358"/>
      <c r="W69" s="358"/>
      <c r="X69" s="358"/>
      <c r="Y69" s="358"/>
    </row>
    <row r="70" spans="17:25">
      <c r="Q70" s="358"/>
      <c r="R70" s="358"/>
      <c r="S70" s="358"/>
      <c r="T70" s="363"/>
      <c r="U70" s="358"/>
      <c r="V70" s="358"/>
      <c r="W70" s="358"/>
      <c r="X70" s="358"/>
      <c r="Y70" s="358"/>
    </row>
    <row r="71" spans="17:25">
      <c r="Q71" s="358"/>
      <c r="R71" s="358"/>
      <c r="S71" s="358"/>
      <c r="T71" s="363"/>
      <c r="U71" s="358"/>
      <c r="V71" s="358"/>
      <c r="W71" s="358"/>
      <c r="X71" s="358"/>
      <c r="Y71" s="358"/>
    </row>
    <row r="72" spans="17:25">
      <c r="Q72" s="358"/>
      <c r="R72" s="358"/>
      <c r="S72" s="358"/>
      <c r="T72" s="363"/>
      <c r="U72" s="358"/>
      <c r="V72" s="358"/>
      <c r="W72" s="358"/>
      <c r="X72" s="358"/>
      <c r="Y72" s="358"/>
    </row>
    <row r="73" spans="17:25">
      <c r="Q73" s="358"/>
      <c r="R73" s="358"/>
      <c r="S73" s="358"/>
      <c r="T73" s="363"/>
      <c r="U73" s="358"/>
      <c r="V73" s="358"/>
      <c r="W73" s="358"/>
      <c r="X73" s="358"/>
      <c r="Y73" s="358"/>
    </row>
    <row r="74" spans="17:25">
      <c r="Q74" s="358"/>
      <c r="R74" s="358"/>
      <c r="S74" s="358"/>
      <c r="T74" s="363"/>
      <c r="U74" s="358"/>
      <c r="V74" s="358"/>
      <c r="W74" s="358"/>
      <c r="X74" s="358"/>
      <c r="Y74" s="358"/>
    </row>
    <row r="75" spans="17:25">
      <c r="Q75" s="358"/>
      <c r="R75" s="358"/>
      <c r="S75" s="358"/>
      <c r="T75" s="358"/>
      <c r="U75" s="358"/>
      <c r="V75" s="358"/>
      <c r="W75" s="358"/>
      <c r="X75" s="358"/>
      <c r="Y75" s="358"/>
    </row>
    <row r="76" spans="17:25">
      <c r="Q76" s="358"/>
      <c r="R76" s="358"/>
      <c r="S76" s="358"/>
      <c r="T76" s="363"/>
      <c r="U76" s="358"/>
      <c r="V76" s="358"/>
      <c r="W76" s="358"/>
      <c r="X76" s="358"/>
      <c r="Y76" s="358"/>
    </row>
    <row r="77" spans="17:25">
      <c r="Q77" s="358"/>
      <c r="R77" s="358"/>
      <c r="S77" s="358"/>
      <c r="T77" s="363"/>
      <c r="U77" s="358"/>
      <c r="V77" s="358"/>
      <c r="W77" s="358"/>
      <c r="X77" s="358"/>
      <c r="Y77" s="358"/>
    </row>
    <row r="78" spans="17:25">
      <c r="Q78" s="358"/>
      <c r="R78" s="358"/>
      <c r="S78" s="358"/>
      <c r="T78" s="363"/>
      <c r="U78" s="358"/>
      <c r="V78" s="358"/>
      <c r="W78" s="358"/>
      <c r="X78" s="358"/>
      <c r="Y78" s="358"/>
    </row>
    <row r="79" spans="17:25">
      <c r="Q79" s="358"/>
      <c r="R79" s="358"/>
      <c r="S79" s="358"/>
      <c r="T79" s="363"/>
      <c r="U79" s="358"/>
      <c r="V79" s="358"/>
      <c r="W79" s="358"/>
      <c r="X79" s="358"/>
      <c r="Y79" s="358"/>
    </row>
    <row r="80" spans="17:25">
      <c r="Q80" s="358"/>
      <c r="R80" s="358"/>
      <c r="S80" s="358"/>
      <c r="T80" s="363"/>
      <c r="U80" s="358"/>
      <c r="V80" s="358"/>
      <c r="W80" s="358"/>
      <c r="X80" s="358"/>
      <c r="Y80" s="358"/>
    </row>
    <row r="81" spans="17:25">
      <c r="Q81" s="358"/>
      <c r="R81" s="358"/>
      <c r="S81" s="358"/>
      <c r="T81" s="363"/>
      <c r="U81" s="358"/>
      <c r="V81" s="358"/>
      <c r="W81" s="358"/>
      <c r="X81" s="358"/>
      <c r="Y81" s="358"/>
    </row>
    <row r="82" spans="17:25">
      <c r="Q82" s="358"/>
      <c r="R82" s="358"/>
      <c r="S82" s="358"/>
      <c r="T82" s="363"/>
      <c r="U82" s="358"/>
      <c r="V82" s="358"/>
      <c r="W82" s="358"/>
      <c r="X82" s="358"/>
      <c r="Y82" s="358"/>
    </row>
    <row r="83" spans="17:25">
      <c r="Q83" s="358"/>
      <c r="R83" s="358"/>
      <c r="S83" s="358"/>
      <c r="T83" s="363"/>
      <c r="U83" s="358"/>
      <c r="V83" s="358"/>
      <c r="W83" s="358"/>
      <c r="X83" s="358"/>
      <c r="Y83" s="358"/>
    </row>
    <row r="84" spans="17:25">
      <c r="Q84" s="358"/>
      <c r="R84" s="358"/>
      <c r="S84" s="358"/>
      <c r="T84" s="363"/>
      <c r="U84" s="358"/>
      <c r="V84" s="358"/>
      <c r="W84" s="358"/>
      <c r="X84" s="358"/>
      <c r="Y84" s="358"/>
    </row>
    <row r="85" spans="17:25">
      <c r="Q85" s="358"/>
      <c r="R85" s="358"/>
      <c r="S85" s="358"/>
      <c r="T85" s="363"/>
      <c r="U85" s="358"/>
      <c r="V85" s="358"/>
      <c r="W85" s="358"/>
      <c r="X85" s="358"/>
      <c r="Y85" s="358"/>
    </row>
    <row r="86" spans="17:25">
      <c r="Q86" s="358"/>
      <c r="R86" s="358"/>
      <c r="S86" s="358"/>
      <c r="T86" s="363"/>
      <c r="U86" s="358"/>
      <c r="V86" s="358"/>
      <c r="W86" s="358"/>
      <c r="X86" s="358"/>
      <c r="Y86" s="358"/>
    </row>
    <row r="87" spans="17:25">
      <c r="Q87" s="358"/>
      <c r="R87" s="358"/>
      <c r="S87" s="358"/>
      <c r="T87" s="363"/>
      <c r="U87" s="358"/>
      <c r="V87" s="358"/>
      <c r="W87" s="358"/>
      <c r="X87" s="358"/>
      <c r="Y87" s="358"/>
    </row>
    <row r="88" spans="17:25">
      <c r="Q88" s="358"/>
      <c r="R88" s="358"/>
      <c r="S88" s="358"/>
      <c r="T88" s="363"/>
      <c r="U88" s="358"/>
      <c r="V88" s="358"/>
      <c r="W88" s="358"/>
      <c r="X88" s="358"/>
      <c r="Y88" s="358"/>
    </row>
    <row r="89" spans="17:25">
      <c r="Q89" s="358"/>
      <c r="R89" s="358"/>
      <c r="S89" s="358"/>
      <c r="T89" s="363"/>
      <c r="U89" s="358"/>
      <c r="V89" s="358"/>
      <c r="W89" s="358"/>
      <c r="X89" s="358"/>
      <c r="Y89" s="358"/>
    </row>
    <row r="90" spans="17:25">
      <c r="Q90" s="358"/>
      <c r="R90" s="358"/>
      <c r="S90" s="358"/>
      <c r="T90" s="363"/>
      <c r="U90" s="358"/>
      <c r="V90" s="358"/>
      <c r="W90" s="358"/>
      <c r="X90" s="358"/>
      <c r="Y90" s="358"/>
    </row>
    <row r="91" spans="17:25">
      <c r="Q91" s="358"/>
      <c r="R91" s="358"/>
      <c r="S91" s="358"/>
      <c r="T91" s="363"/>
      <c r="U91" s="358"/>
      <c r="V91" s="358"/>
      <c r="W91" s="358"/>
      <c r="X91" s="358"/>
      <c r="Y91" s="358"/>
    </row>
    <row r="92" spans="17:25">
      <c r="Q92" s="358"/>
      <c r="R92" s="358"/>
      <c r="S92" s="358"/>
      <c r="T92" s="363"/>
      <c r="U92" s="358"/>
      <c r="V92" s="358"/>
      <c r="W92" s="358"/>
      <c r="X92" s="358"/>
      <c r="Y92" s="358"/>
    </row>
    <row r="93" spans="17:25">
      <c r="Q93" s="358"/>
      <c r="R93" s="358"/>
      <c r="S93" s="358"/>
      <c r="T93" s="363"/>
      <c r="U93" s="358"/>
      <c r="V93" s="358"/>
      <c r="W93" s="358"/>
      <c r="X93" s="358"/>
      <c r="Y93" s="358"/>
    </row>
    <row r="94" spans="17:25">
      <c r="Q94" s="358"/>
      <c r="R94" s="358"/>
      <c r="S94" s="358"/>
      <c r="T94" s="363"/>
      <c r="U94" s="358"/>
      <c r="V94" s="358"/>
      <c r="W94" s="358"/>
      <c r="X94" s="358"/>
      <c r="Y94" s="358"/>
    </row>
    <row r="95" spans="17:25">
      <c r="Q95" s="358"/>
      <c r="R95" s="358"/>
      <c r="S95" s="358"/>
      <c r="T95" s="363"/>
      <c r="U95" s="358"/>
      <c r="V95" s="358"/>
      <c r="W95" s="358"/>
      <c r="X95" s="358"/>
      <c r="Y95" s="358"/>
    </row>
    <row r="96" spans="17:25">
      <c r="Q96" s="358"/>
      <c r="R96" s="358"/>
      <c r="S96" s="358"/>
      <c r="T96" s="363"/>
      <c r="U96" s="358"/>
      <c r="V96" s="358"/>
      <c r="W96" s="358"/>
      <c r="X96" s="358"/>
      <c r="Y96" s="358"/>
    </row>
    <row r="97" spans="17:25">
      <c r="Q97" s="358"/>
      <c r="R97" s="358"/>
      <c r="S97" s="358"/>
      <c r="T97" s="363"/>
      <c r="U97" s="358"/>
      <c r="V97" s="358"/>
      <c r="W97" s="358"/>
      <c r="X97" s="358"/>
      <c r="Y97" s="358"/>
    </row>
    <row r="98" spans="17:25">
      <c r="Q98" s="358"/>
      <c r="R98" s="358"/>
      <c r="S98" s="358"/>
      <c r="T98" s="363"/>
      <c r="U98" s="358"/>
      <c r="V98" s="358"/>
      <c r="W98" s="358"/>
      <c r="X98" s="358"/>
      <c r="Y98" s="358"/>
    </row>
    <row r="99" spans="17:25">
      <c r="Q99" s="358"/>
      <c r="R99" s="358"/>
      <c r="S99" s="358"/>
      <c r="T99" s="363"/>
      <c r="U99" s="358"/>
      <c r="V99" s="358"/>
      <c r="W99" s="358"/>
      <c r="X99" s="358"/>
      <c r="Y99" s="358"/>
    </row>
    <row r="100" spans="17:25">
      <c r="Q100" s="358"/>
      <c r="R100" s="358"/>
      <c r="S100" s="358"/>
      <c r="T100" s="363"/>
      <c r="U100" s="358"/>
      <c r="V100" s="358"/>
      <c r="W100" s="358"/>
      <c r="X100" s="358"/>
      <c r="Y100" s="358"/>
    </row>
    <row r="101" spans="17:25">
      <c r="Q101" s="358"/>
      <c r="R101" s="358"/>
      <c r="S101" s="358"/>
      <c r="T101" s="363"/>
      <c r="U101" s="358"/>
      <c r="V101" s="358"/>
      <c r="W101" s="358"/>
      <c r="X101" s="358"/>
      <c r="Y101" s="358"/>
    </row>
    <row r="102" spans="17:25">
      <c r="Q102" s="358"/>
      <c r="R102" s="358"/>
      <c r="S102" s="358"/>
      <c r="T102" s="363"/>
      <c r="U102" s="358"/>
      <c r="V102" s="358"/>
      <c r="W102" s="358"/>
      <c r="X102" s="358"/>
      <c r="Y102" s="358"/>
    </row>
    <row r="103" spans="17:25">
      <c r="Q103" s="358"/>
      <c r="R103" s="358"/>
      <c r="S103" s="358"/>
      <c r="T103" s="363"/>
      <c r="U103" s="358"/>
      <c r="V103" s="358"/>
      <c r="W103" s="358"/>
      <c r="X103" s="358"/>
      <c r="Y103" s="358"/>
    </row>
    <row r="104" spans="17:25">
      <c r="Q104" s="358"/>
      <c r="R104" s="358"/>
      <c r="S104" s="358"/>
      <c r="T104" s="363"/>
      <c r="U104" s="358"/>
      <c r="V104" s="358"/>
      <c r="W104" s="358"/>
      <c r="X104" s="358"/>
      <c r="Y104" s="358"/>
    </row>
    <row r="105" spans="17:25">
      <c r="Q105" s="358"/>
      <c r="R105" s="358"/>
      <c r="S105" s="358"/>
      <c r="T105" s="363"/>
      <c r="U105" s="358"/>
      <c r="V105" s="358"/>
      <c r="W105" s="358"/>
      <c r="X105" s="358"/>
      <c r="Y105" s="358"/>
    </row>
    <row r="106" spans="17:25">
      <c r="Q106" s="358"/>
      <c r="R106" s="358"/>
      <c r="S106" s="358"/>
      <c r="T106" s="363"/>
      <c r="U106" s="358"/>
      <c r="V106" s="358"/>
      <c r="W106" s="358"/>
      <c r="X106" s="358"/>
      <c r="Y106" s="358"/>
    </row>
    <row r="107" spans="17:25">
      <c r="Q107" s="358"/>
      <c r="R107" s="358"/>
      <c r="S107" s="358"/>
      <c r="T107" s="363"/>
      <c r="U107" s="358"/>
      <c r="V107" s="358"/>
      <c r="W107" s="358"/>
      <c r="X107" s="358"/>
      <c r="Y107" s="358"/>
    </row>
    <row r="108" spans="17:25">
      <c r="Q108" s="358"/>
      <c r="R108" s="358"/>
      <c r="S108" s="358"/>
      <c r="T108" s="363"/>
      <c r="U108" s="358"/>
      <c r="V108" s="358"/>
      <c r="W108" s="358"/>
      <c r="X108" s="358"/>
      <c r="Y108" s="358"/>
    </row>
    <row r="109" spans="17:25">
      <c r="Q109" s="358"/>
      <c r="R109" s="358"/>
      <c r="S109" s="358"/>
      <c r="T109" s="363"/>
      <c r="U109" s="358"/>
      <c r="V109" s="358"/>
      <c r="W109" s="358"/>
      <c r="X109" s="358"/>
      <c r="Y109" s="358"/>
    </row>
    <row r="110" spans="17:25">
      <c r="Q110" s="358"/>
      <c r="R110" s="358"/>
      <c r="S110" s="358"/>
      <c r="T110" s="358"/>
      <c r="U110" s="358"/>
      <c r="V110" s="358"/>
      <c r="W110" s="358"/>
      <c r="X110" s="358"/>
      <c r="Y110" s="358"/>
    </row>
    <row r="111" spans="17:25">
      <c r="Q111" s="358"/>
      <c r="R111" s="358"/>
      <c r="S111" s="358"/>
      <c r="T111" s="365"/>
      <c r="U111" s="358"/>
      <c r="V111" s="358"/>
      <c r="W111" s="358"/>
      <c r="X111" s="358"/>
      <c r="Y111" s="358"/>
    </row>
    <row r="112" spans="17:25">
      <c r="Q112" s="358"/>
      <c r="R112" s="358"/>
      <c r="S112" s="358"/>
      <c r="T112" s="363"/>
      <c r="U112" s="358"/>
      <c r="V112" s="358"/>
      <c r="W112" s="358"/>
      <c r="X112" s="358"/>
      <c r="Y112" s="358"/>
    </row>
    <row r="113" spans="17:25">
      <c r="Q113" s="358"/>
      <c r="R113" s="358"/>
      <c r="S113" s="358"/>
      <c r="T113" s="363"/>
      <c r="U113" s="358"/>
      <c r="V113" s="358"/>
      <c r="W113" s="358"/>
      <c r="X113" s="358"/>
      <c r="Y113" s="358"/>
    </row>
    <row r="114" spans="17:25">
      <c r="Q114" s="358"/>
      <c r="R114" s="358"/>
      <c r="S114" s="358"/>
      <c r="T114" s="363"/>
      <c r="U114" s="358"/>
      <c r="V114" s="358"/>
      <c r="W114" s="358"/>
      <c r="X114" s="358"/>
      <c r="Y114" s="358"/>
    </row>
    <row r="115" spans="17:25">
      <c r="Q115" s="358"/>
      <c r="R115" s="358"/>
      <c r="S115" s="358"/>
      <c r="T115" s="363"/>
      <c r="U115" s="358"/>
      <c r="V115" s="358"/>
      <c r="W115" s="358"/>
      <c r="X115" s="358"/>
      <c r="Y115" s="358"/>
    </row>
    <row r="116" spans="17:25">
      <c r="Q116" s="358"/>
      <c r="R116" s="358"/>
      <c r="S116" s="358"/>
      <c r="T116" s="366"/>
      <c r="U116" s="358"/>
      <c r="V116" s="358"/>
      <c r="W116" s="358"/>
      <c r="X116" s="358"/>
      <c r="Y116" s="358"/>
    </row>
    <row r="117" spans="17:25">
      <c r="Q117" s="358"/>
      <c r="R117" s="358"/>
      <c r="S117" s="358"/>
      <c r="T117" s="363"/>
      <c r="U117" s="358"/>
      <c r="V117" s="358"/>
      <c r="W117" s="358"/>
      <c r="X117" s="358"/>
      <c r="Y117" s="358"/>
    </row>
    <row r="118" spans="17:25">
      <c r="Q118" s="358"/>
      <c r="R118" s="358"/>
      <c r="S118" s="358"/>
      <c r="T118" s="363"/>
      <c r="U118" s="358"/>
      <c r="V118" s="358"/>
      <c r="W118" s="358"/>
      <c r="X118" s="358"/>
      <c r="Y118" s="358"/>
    </row>
    <row r="119" spans="17:25">
      <c r="Q119" s="358"/>
      <c r="R119" s="358"/>
      <c r="S119" s="358"/>
      <c r="T119" s="363"/>
      <c r="U119" s="358"/>
      <c r="V119" s="358"/>
      <c r="W119" s="358"/>
      <c r="X119" s="358"/>
      <c r="Y119" s="358"/>
    </row>
    <row r="120" spans="17:25">
      <c r="U120" s="358"/>
      <c r="V120" s="358"/>
      <c r="W120" s="358"/>
      <c r="X120" s="358"/>
      <c r="Y120" s="358"/>
    </row>
    <row r="121" spans="17:25">
      <c r="Q121" s="358"/>
      <c r="R121" s="358"/>
      <c r="S121" s="358"/>
      <c r="T121" s="358"/>
      <c r="U121" s="358"/>
      <c r="V121" s="358"/>
      <c r="W121" s="358"/>
      <c r="X121" s="358"/>
      <c r="Y121" s="358"/>
    </row>
    <row r="122" spans="17:25">
      <c r="Q122" s="358"/>
      <c r="R122" s="358"/>
      <c r="S122" s="358"/>
      <c r="T122" s="358"/>
      <c r="U122" s="358"/>
      <c r="V122" s="358"/>
      <c r="W122" s="358"/>
      <c r="X122" s="358"/>
      <c r="Y122" s="358"/>
    </row>
    <row r="123" spans="17:25">
      <c r="Q123" s="358"/>
      <c r="R123" s="358"/>
      <c r="S123" s="358"/>
      <c r="T123" s="358"/>
      <c r="U123" s="358"/>
      <c r="V123" s="358"/>
      <c r="W123" s="358"/>
      <c r="X123" s="358"/>
      <c r="Y123" s="358"/>
    </row>
    <row r="124" spans="17:25">
      <c r="Q124" s="358"/>
      <c r="R124" s="358"/>
      <c r="S124" s="358"/>
      <c r="T124" s="358"/>
      <c r="U124" s="358"/>
      <c r="V124" s="358"/>
      <c r="W124" s="358"/>
      <c r="X124" s="358"/>
      <c r="Y124" s="358"/>
    </row>
    <row r="125" spans="17:25">
      <c r="Q125" s="358"/>
      <c r="R125" s="358"/>
      <c r="S125" s="358"/>
      <c r="T125" s="358"/>
      <c r="U125" s="358"/>
      <c r="V125" s="358"/>
      <c r="W125" s="358"/>
      <c r="X125" s="358"/>
      <c r="Y125" s="358"/>
    </row>
    <row r="126" spans="17:25">
      <c r="Q126" s="358"/>
      <c r="R126" s="358"/>
      <c r="S126" s="358"/>
      <c r="T126" s="358"/>
      <c r="U126" s="358"/>
      <c r="V126" s="358"/>
      <c r="W126" s="358"/>
      <c r="X126" s="358"/>
      <c r="Y126" s="358"/>
    </row>
    <row r="127" spans="17:25">
      <c r="Q127" s="358"/>
      <c r="R127" s="358"/>
      <c r="S127" s="358"/>
      <c r="T127" s="358"/>
      <c r="U127" s="358"/>
      <c r="V127" s="358"/>
      <c r="W127" s="358"/>
      <c r="X127" s="358"/>
      <c r="Y127" s="358"/>
    </row>
    <row r="128" spans="17:25">
      <c r="Q128" s="358"/>
      <c r="R128" s="358"/>
      <c r="S128" s="358"/>
      <c r="T128" s="358"/>
      <c r="U128" s="358"/>
      <c r="V128" s="358"/>
      <c r="W128" s="358"/>
      <c r="X128" s="358"/>
      <c r="Y128" s="358"/>
    </row>
    <row r="129" spans="17:25">
      <c r="Q129" s="358"/>
      <c r="R129" s="358"/>
      <c r="S129" s="358"/>
      <c r="T129" s="358"/>
      <c r="U129" s="358"/>
      <c r="V129" s="358"/>
      <c r="W129" s="358"/>
      <c r="X129" s="358"/>
      <c r="Y129" s="358"/>
    </row>
    <row r="130" spans="17:25">
      <c r="Q130" s="358"/>
      <c r="R130" s="358"/>
      <c r="S130" s="358"/>
      <c r="T130" s="358"/>
      <c r="U130" s="358"/>
      <c r="V130" s="358"/>
      <c r="W130" s="358"/>
      <c r="X130" s="358"/>
      <c r="Y130" s="358"/>
    </row>
    <row r="131" spans="17:25">
      <c r="Q131" s="358"/>
      <c r="R131" s="358"/>
      <c r="S131" s="358"/>
      <c r="T131" s="358"/>
      <c r="U131" s="358"/>
      <c r="V131" s="358"/>
      <c r="W131" s="358"/>
      <c r="X131" s="358"/>
      <c r="Y131" s="358"/>
    </row>
    <row r="132" spans="17:25">
      <c r="Q132" s="358"/>
      <c r="R132" s="358"/>
      <c r="S132" s="358"/>
      <c r="T132" s="358"/>
      <c r="U132" s="358"/>
      <c r="V132" s="358"/>
      <c r="W132" s="358"/>
      <c r="X132" s="358"/>
      <c r="Y132" s="358"/>
    </row>
    <row r="133" spans="17:25">
      <c r="Q133" s="358"/>
      <c r="R133" s="358"/>
      <c r="S133" s="358"/>
      <c r="T133" s="358"/>
      <c r="U133" s="358"/>
      <c r="V133" s="358"/>
      <c r="W133" s="358"/>
      <c r="X133" s="358"/>
      <c r="Y133" s="358"/>
    </row>
    <row r="134" spans="17:25">
      <c r="Q134" s="358"/>
      <c r="R134" s="358"/>
      <c r="S134" s="358"/>
      <c r="T134" s="358"/>
      <c r="U134" s="358"/>
      <c r="V134" s="358"/>
      <c r="W134" s="358"/>
      <c r="X134" s="358"/>
      <c r="Y134" s="358"/>
    </row>
    <row r="135" spans="17:25">
      <c r="Q135" s="358"/>
      <c r="R135" s="358"/>
      <c r="S135" s="358"/>
      <c r="T135" s="358"/>
      <c r="U135" s="358"/>
      <c r="V135" s="358"/>
      <c r="W135" s="358"/>
      <c r="X135" s="358"/>
      <c r="Y135" s="358"/>
    </row>
    <row r="136" spans="17:25">
      <c r="Q136" s="358"/>
      <c r="R136" s="358"/>
      <c r="S136" s="358"/>
      <c r="T136" s="358"/>
      <c r="U136" s="358"/>
      <c r="V136" s="358"/>
      <c r="W136" s="358"/>
      <c r="X136" s="358"/>
      <c r="Y136" s="358"/>
    </row>
    <row r="137" spans="17:25">
      <c r="Q137" s="358"/>
      <c r="R137" s="358"/>
      <c r="S137" s="358"/>
      <c r="T137" s="358"/>
      <c r="U137" s="358"/>
      <c r="V137" s="358"/>
      <c r="W137" s="358"/>
      <c r="X137" s="358"/>
      <c r="Y137" s="358"/>
    </row>
    <row r="138" spans="17:25">
      <c r="Q138" s="358"/>
      <c r="R138" s="358"/>
      <c r="S138" s="358"/>
      <c r="T138" s="358"/>
      <c r="U138" s="358"/>
      <c r="V138" s="358"/>
      <c r="W138" s="358"/>
      <c r="X138" s="358"/>
      <c r="Y138" s="358"/>
    </row>
    <row r="139" spans="17:25">
      <c r="Q139" s="358"/>
      <c r="R139" s="358"/>
      <c r="S139" s="358"/>
      <c r="T139" s="358"/>
      <c r="U139" s="358"/>
      <c r="V139" s="358"/>
      <c r="W139" s="358"/>
      <c r="X139" s="358"/>
      <c r="Y139" s="358"/>
    </row>
    <row r="140" spans="17:25">
      <c r="Q140" s="358"/>
      <c r="R140" s="358"/>
      <c r="S140" s="358"/>
      <c r="T140" s="358"/>
      <c r="U140" s="358"/>
      <c r="V140" s="358"/>
      <c r="W140" s="358"/>
      <c r="X140" s="358"/>
      <c r="Y140" s="358"/>
    </row>
    <row r="141" spans="17:25">
      <c r="Q141" s="358"/>
      <c r="R141" s="358"/>
      <c r="S141" s="358"/>
      <c r="T141" s="358"/>
      <c r="U141" s="358"/>
      <c r="V141" s="358"/>
      <c r="W141" s="358"/>
      <c r="X141" s="358"/>
      <c r="Y141" s="358"/>
    </row>
    <row r="142" spans="17:25">
      <c r="Q142" s="358"/>
      <c r="R142" s="358"/>
      <c r="S142" s="358"/>
      <c r="T142" s="358"/>
      <c r="U142" s="358"/>
      <c r="V142" s="358"/>
      <c r="W142" s="358"/>
      <c r="X142" s="358"/>
      <c r="Y142" s="358"/>
    </row>
    <row r="143" spans="17:25">
      <c r="Q143" s="358"/>
      <c r="R143" s="358"/>
      <c r="S143" s="358"/>
      <c r="T143" s="358"/>
      <c r="U143" s="358"/>
      <c r="V143" s="358"/>
      <c r="W143" s="358"/>
      <c r="X143" s="358"/>
      <c r="Y143" s="358"/>
    </row>
    <row r="144" spans="17:25">
      <c r="Q144" s="358"/>
      <c r="R144" s="358"/>
      <c r="S144" s="358"/>
      <c r="T144" s="358"/>
      <c r="U144" s="358"/>
      <c r="V144" s="358"/>
      <c r="W144" s="358"/>
      <c r="X144" s="358"/>
      <c r="Y144" s="358"/>
    </row>
    <row r="145" spans="17:25">
      <c r="Q145" s="358"/>
      <c r="R145" s="358"/>
      <c r="S145" s="358"/>
      <c r="T145" s="358"/>
      <c r="U145" s="358"/>
      <c r="V145" s="358"/>
      <c r="W145" s="358"/>
      <c r="X145" s="358"/>
      <c r="Y145" s="358"/>
    </row>
    <row r="146" spans="17:25">
      <c r="Q146" s="358"/>
      <c r="R146" s="358"/>
      <c r="S146" s="358"/>
      <c r="T146" s="358"/>
      <c r="U146" s="358"/>
      <c r="V146" s="358"/>
      <c r="W146" s="358"/>
      <c r="X146" s="358"/>
      <c r="Y146" s="358"/>
    </row>
    <row r="147" spans="17:25">
      <c r="Q147" s="358"/>
      <c r="R147" s="358"/>
      <c r="S147" s="358"/>
      <c r="T147" s="358"/>
      <c r="U147" s="358"/>
      <c r="V147" s="358"/>
      <c r="W147" s="358"/>
      <c r="X147" s="358"/>
      <c r="Y147" s="358"/>
    </row>
    <row r="148" spans="17:25">
      <c r="Q148" s="358"/>
      <c r="R148" s="358"/>
      <c r="S148" s="358"/>
      <c r="T148" s="358"/>
      <c r="U148" s="358"/>
      <c r="V148" s="358"/>
      <c r="W148" s="358"/>
      <c r="X148" s="358"/>
      <c r="Y148" s="358"/>
    </row>
    <row r="149" spans="17:25">
      <c r="Q149" s="358"/>
      <c r="R149" s="358"/>
      <c r="S149" s="358"/>
      <c r="T149" s="358"/>
      <c r="U149" s="358"/>
      <c r="V149" s="358"/>
      <c r="W149" s="358"/>
      <c r="X149" s="358"/>
      <c r="Y149" s="358"/>
    </row>
    <row r="150" spans="17:25">
      <c r="Q150" s="358"/>
      <c r="R150" s="358"/>
      <c r="S150" s="358"/>
      <c r="T150" s="358"/>
      <c r="U150" s="358"/>
      <c r="V150" s="358"/>
      <c r="W150" s="358"/>
      <c r="X150" s="358"/>
      <c r="Y150" s="358"/>
    </row>
    <row r="151" spans="17:25">
      <c r="Q151" s="358"/>
      <c r="R151" s="358"/>
      <c r="S151" s="358"/>
      <c r="T151" s="358"/>
      <c r="U151" s="358"/>
      <c r="V151" s="358"/>
      <c r="W151" s="358"/>
      <c r="X151" s="358"/>
      <c r="Y151" s="358"/>
    </row>
    <row r="152" spans="17:25">
      <c r="Q152" s="358"/>
      <c r="R152" s="358"/>
      <c r="S152" s="358"/>
      <c r="T152" s="358"/>
      <c r="U152" s="358"/>
      <c r="V152" s="358"/>
      <c r="W152" s="358"/>
      <c r="X152" s="358"/>
      <c r="Y152" s="358"/>
    </row>
    <row r="153" spans="17:25">
      <c r="Q153" s="358"/>
      <c r="R153" s="358"/>
      <c r="S153" s="358"/>
      <c r="T153" s="358"/>
      <c r="U153" s="358"/>
      <c r="V153" s="358"/>
      <c r="W153" s="358"/>
      <c r="X153" s="358"/>
      <c r="Y153" s="358"/>
    </row>
    <row r="154" spans="17:25">
      <c r="Q154" s="358"/>
      <c r="R154" s="358"/>
      <c r="S154" s="358"/>
      <c r="T154" s="358"/>
      <c r="U154" s="358"/>
      <c r="V154" s="358"/>
      <c r="W154" s="358"/>
      <c r="X154" s="358"/>
      <c r="Y154" s="358"/>
    </row>
    <row r="155" spans="17:25">
      <c r="U155" s="358"/>
      <c r="V155" s="358"/>
      <c r="W155" s="358"/>
      <c r="X155" s="358"/>
      <c r="Y155" s="358"/>
    </row>
    <row r="156" spans="17:25">
      <c r="U156" s="358"/>
      <c r="V156" s="358"/>
      <c r="W156" s="358"/>
      <c r="X156" s="358"/>
      <c r="Y156" s="358"/>
    </row>
    <row r="157" spans="17:25">
      <c r="U157" s="358"/>
      <c r="V157" s="358"/>
      <c r="W157" s="358"/>
      <c r="X157" s="358"/>
      <c r="Y157" s="358"/>
    </row>
    <row r="158" spans="17:25">
      <c r="U158" s="358"/>
      <c r="V158" s="358"/>
      <c r="W158" s="358"/>
      <c r="X158" s="358"/>
      <c r="Y158" s="358"/>
    </row>
    <row r="159" spans="17:25">
      <c r="U159" s="358"/>
      <c r="V159" s="358"/>
      <c r="W159" s="358"/>
      <c r="X159" s="358"/>
      <c r="Y159" s="358"/>
    </row>
    <row r="160" spans="17:25">
      <c r="U160" s="358"/>
      <c r="V160" s="358"/>
      <c r="W160" s="358"/>
      <c r="X160" s="358"/>
      <c r="Y160" s="358"/>
    </row>
    <row r="161" spans="21:25">
      <c r="U161" s="358"/>
      <c r="V161" s="358"/>
      <c r="W161" s="358"/>
      <c r="X161" s="358"/>
      <c r="Y161" s="358"/>
    </row>
    <row r="162" spans="21:25">
      <c r="U162" s="358"/>
      <c r="V162" s="358"/>
      <c r="W162" s="358"/>
      <c r="X162" s="358"/>
      <c r="Y162" s="358"/>
    </row>
    <row r="163" spans="21:25">
      <c r="U163" s="358"/>
      <c r="V163" s="358"/>
      <c r="W163" s="358"/>
      <c r="X163" s="358"/>
      <c r="Y163" s="358"/>
    </row>
  </sheetData>
  <mergeCells count="1">
    <mergeCell ref="AD4:AG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B2:E49"/>
  <sheetViews>
    <sheetView showGridLines="0" workbookViewId="0">
      <selection activeCell="C7" sqref="C7"/>
    </sheetView>
  </sheetViews>
  <sheetFormatPr defaultColWidth="9" defaultRowHeight="15.75"/>
  <cols>
    <col min="1" max="1" width="9" style="279"/>
    <col min="2" max="2" width="33.375" style="288" bestFit="1" customWidth="1"/>
    <col min="3" max="3" width="30.625" style="369" bestFit="1" customWidth="1"/>
    <col min="4" max="4" width="61.375" style="374" customWidth="1"/>
    <col min="5" max="5" width="10.5" style="375" bestFit="1" customWidth="1"/>
    <col min="6" max="16384" width="9" style="279"/>
  </cols>
  <sheetData>
    <row r="2" spans="2:5">
      <c r="B2" s="368" t="s">
        <v>2813</v>
      </c>
      <c r="D2" s="370"/>
      <c r="E2" s="371"/>
    </row>
    <row r="3" spans="2:5">
      <c r="D3" s="372"/>
      <c r="E3" s="373"/>
    </row>
    <row r="4" spans="2:5">
      <c r="B4" s="288" t="s">
        <v>2801</v>
      </c>
      <c r="C4" s="367" t="s">
        <v>2814</v>
      </c>
    </row>
    <row r="6" spans="2:5">
      <c r="B6" s="289" t="s">
        <v>2156</v>
      </c>
      <c r="C6" s="376" t="s">
        <v>2815</v>
      </c>
      <c r="D6" s="377" t="s">
        <v>2816</v>
      </c>
      <c r="E6" s="378" t="s">
        <v>2817</v>
      </c>
    </row>
    <row r="7" spans="2:5">
      <c r="B7" s="82" t="s">
        <v>1364</v>
      </c>
      <c r="C7" s="379">
        <v>1194642</v>
      </c>
      <c r="D7" s="372">
        <f>(C7*500*4)/1000000000</f>
        <v>2.389284</v>
      </c>
      <c r="E7" s="373">
        <f>D7/(VLOOKUP(B7,'AGGREGATES by country'!B:I,8,0)/1000000000)*100</f>
        <v>0.42289320938890262</v>
      </c>
    </row>
    <row r="8" spans="2:5">
      <c r="B8" s="82" t="s">
        <v>1478</v>
      </c>
      <c r="C8" s="379">
        <v>83321</v>
      </c>
      <c r="D8" s="372">
        <f>(C8*500*4)/1000000000</f>
        <v>0.16664200000000001</v>
      </c>
      <c r="E8" s="373">
        <f>D8/(VLOOKUP(B8,'AGGREGATES by country'!B:I,8,0)/1000000000)*100</f>
        <v>7.0753096056921261E-2</v>
      </c>
    </row>
    <row r="9" spans="2:5">
      <c r="B9" s="82" t="s">
        <v>963</v>
      </c>
      <c r="C9" s="379">
        <v>25800</v>
      </c>
      <c r="D9" s="372">
        <f t="shared" ref="D9:D49" si="0">(C9*500*4)/1000000000</f>
        <v>5.16E-2</v>
      </c>
      <c r="E9" s="373">
        <f>D9/(VLOOKUP(B9,'AGGREGATES by country'!B:I,8,0)/1000000000)*100</f>
        <v>3.4972174806448222E-2</v>
      </c>
    </row>
    <row r="10" spans="2:5">
      <c r="B10" s="82" t="s">
        <v>2818</v>
      </c>
      <c r="C10" s="379">
        <v>82700</v>
      </c>
      <c r="D10" s="372">
        <f t="shared" si="0"/>
        <v>0.16539999999999999</v>
      </c>
      <c r="E10" s="373" t="e">
        <f>D10/(VLOOKUP(B10,'AGGREGATES by country'!B:I,8,0)/1000000000)*100</f>
        <v>#N/A</v>
      </c>
    </row>
    <row r="11" spans="2:5">
      <c r="B11" s="82" t="s">
        <v>1507</v>
      </c>
      <c r="C11" s="379">
        <v>79770</v>
      </c>
      <c r="D11" s="372">
        <f t="shared" si="0"/>
        <v>0.15953999999999999</v>
      </c>
      <c r="E11" s="373">
        <f>D11/(VLOOKUP(B11,'AGGREGATES by country'!B:I,8,0)/1000000000)*100</f>
        <v>0.16018839895120932</v>
      </c>
    </row>
    <row r="12" spans="2:5">
      <c r="B12" s="82" t="s">
        <v>2819</v>
      </c>
      <c r="C12" s="379">
        <v>9280</v>
      </c>
      <c r="D12" s="372">
        <f t="shared" si="0"/>
        <v>1.856E-2</v>
      </c>
      <c r="E12" s="373" t="e">
        <f>D12/(VLOOKUP(B12,'AGGREGATES by country'!B:I,8,0)/1000000000)*100</f>
        <v>#N/A</v>
      </c>
    </row>
    <row r="13" spans="2:5">
      <c r="B13" s="82" t="s">
        <v>840</v>
      </c>
      <c r="C13" s="380">
        <v>867000</v>
      </c>
      <c r="D13" s="372">
        <f t="shared" si="0"/>
        <v>1.734</v>
      </c>
      <c r="E13" s="373">
        <f>D13/(VLOOKUP(B13,'AGGREGATES by country'!B:I,8,0)/1000000000)*100</f>
        <v>4.7605484831425827E-2</v>
      </c>
    </row>
    <row r="14" spans="2:5">
      <c r="B14" s="82" t="s">
        <v>503</v>
      </c>
      <c r="C14" s="369">
        <v>382768</v>
      </c>
      <c r="D14" s="372">
        <f t="shared" si="0"/>
        <v>0.76553599999999999</v>
      </c>
      <c r="E14" s="373">
        <f>D14/(VLOOKUP(B14,'AGGREGATES by country'!B:I,8,0)/1000000000)*100</f>
        <v>0.32950528109395594</v>
      </c>
    </row>
    <row r="15" spans="2:5">
      <c r="B15" s="82" t="s">
        <v>329</v>
      </c>
      <c r="C15" s="369">
        <v>82432</v>
      </c>
      <c r="D15" s="372">
        <f t="shared" si="0"/>
        <v>0.16486400000000001</v>
      </c>
      <c r="E15" s="373">
        <f>D15/(VLOOKUP(B15,'AGGREGATES by country'!B:I,8,0)/1000000000)*100</f>
        <v>0.24910288962967042</v>
      </c>
    </row>
    <row r="16" spans="2:5">
      <c r="B16" s="82" t="s">
        <v>1036</v>
      </c>
      <c r="C16" s="369">
        <v>141562</v>
      </c>
      <c r="D16" s="372">
        <f t="shared" si="0"/>
        <v>0.28312399999999999</v>
      </c>
      <c r="E16" s="373">
        <f>D16/(VLOOKUP(B16,'AGGREGATES by country'!B:I,8,0)/1000000000)*100</f>
        <v>1.5829800903626554E-2</v>
      </c>
    </row>
    <row r="17" spans="2:5">
      <c r="B17" s="82" t="s">
        <v>1702</v>
      </c>
      <c r="C17" s="369">
        <v>145000</v>
      </c>
      <c r="D17" s="372">
        <f t="shared" si="0"/>
        <v>0.28999999999999998</v>
      </c>
      <c r="E17" s="373">
        <f>D17/(VLOOKUP(B17,'AGGREGATES by country'!B:I,8,0)/1000000000)*100</f>
        <v>4.2536002368035702E-2</v>
      </c>
    </row>
    <row r="18" spans="2:5">
      <c r="B18" s="82" t="s">
        <v>1587</v>
      </c>
      <c r="C18" s="369">
        <v>123888</v>
      </c>
      <c r="D18" s="372">
        <f t="shared" si="0"/>
        <v>0.247776</v>
      </c>
      <c r="E18" s="373">
        <f>D18/(VLOOKUP(B18,'AGGREGATES by country'!B:I,8,0)/1000000000)*100</f>
        <v>2.0417837860311771E-2</v>
      </c>
    </row>
    <row r="19" spans="2:5">
      <c r="B19" s="82" t="s">
        <v>257</v>
      </c>
      <c r="C19" s="369">
        <v>73768</v>
      </c>
      <c r="D19" s="372">
        <f t="shared" si="0"/>
        <v>0.147536</v>
      </c>
      <c r="E19" s="373">
        <f>D19/(VLOOKUP(B19,'AGGREGATES by country'!B:I,8,0)/1000000000)*100</f>
        <v>3.5959600743639242E-2</v>
      </c>
    </row>
    <row r="20" spans="2:5">
      <c r="B20" s="82" t="s">
        <v>763</v>
      </c>
      <c r="C20" s="369">
        <v>87972</v>
      </c>
      <c r="D20" s="372">
        <f t="shared" si="0"/>
        <v>0.17594399999999999</v>
      </c>
      <c r="E20" s="373">
        <f>D20/(VLOOKUP(B20,'AGGREGATES by country'!B:I,8,0)/1000000000)*100</f>
        <v>7.0636661830204067E-3</v>
      </c>
    </row>
    <row r="21" spans="2:5">
      <c r="B21" s="82" t="s">
        <v>1147</v>
      </c>
      <c r="C21" s="369">
        <v>57979</v>
      </c>
      <c r="D21" s="372">
        <f t="shared" si="0"/>
        <v>0.11595800000000001</v>
      </c>
      <c r="E21" s="373">
        <f>D21/(VLOOKUP(B21,'AGGREGATES by country'!B:I,8,0)/1000000000)*100</f>
        <v>0.21654859606953231</v>
      </c>
    </row>
    <row r="22" spans="2:5">
      <c r="B22" s="82" t="s">
        <v>666</v>
      </c>
      <c r="C22" s="380">
        <v>43909</v>
      </c>
      <c r="D22" s="372">
        <f t="shared" si="0"/>
        <v>8.7817999999999993E-2</v>
      </c>
      <c r="E22" s="373">
        <f>D22/(VLOOKUP(B22,'AGGREGATES by country'!B:I,8,0)/1000000000)*100</f>
        <v>0.30256094803670697</v>
      </c>
    </row>
    <row r="23" spans="2:5">
      <c r="B23" s="82" t="s">
        <v>1408</v>
      </c>
      <c r="C23" s="369">
        <v>45714</v>
      </c>
      <c r="D23" s="372">
        <f t="shared" si="0"/>
        <v>9.1427999999999995E-2</v>
      </c>
      <c r="E23" s="373">
        <f>D23/(VLOOKUP(B23,'AGGREGATES by country'!B:I,8,0)/1000000000)*100</f>
        <v>4.2245729612888826E-2</v>
      </c>
    </row>
    <row r="24" spans="2:5">
      <c r="B24" s="82" t="s">
        <v>1645</v>
      </c>
      <c r="C24" s="369">
        <v>40765</v>
      </c>
      <c r="D24" s="372">
        <f t="shared" si="0"/>
        <v>8.1530000000000005E-2</v>
      </c>
      <c r="E24" s="373">
        <f>D24/(VLOOKUP(B24,'AGGREGATES by country'!B:I,8,0)/1000000000)*100</f>
        <v>1.5907703051509216E-2</v>
      </c>
    </row>
    <row r="25" spans="2:5">
      <c r="B25" s="82" t="s">
        <v>296</v>
      </c>
      <c r="C25" s="369">
        <v>49000</v>
      </c>
      <c r="D25" s="372">
        <f t="shared" si="0"/>
        <v>9.8000000000000004E-2</v>
      </c>
      <c r="E25" s="373">
        <f>D25/(VLOOKUP(B25,'AGGREGATES by country'!B:I,8,0)/1000000000)*100</f>
        <v>1.9830556889935257E-2</v>
      </c>
    </row>
    <row r="26" spans="2:5">
      <c r="B26" s="82" t="s">
        <v>618</v>
      </c>
      <c r="C26" s="369">
        <v>30900</v>
      </c>
      <c r="D26" s="372">
        <f t="shared" si="0"/>
        <v>6.1800000000000001E-2</v>
      </c>
      <c r="E26" s="373">
        <f>D26/(VLOOKUP(B26,'AGGREGATES by country'!B:I,8,0)/1000000000)*100</f>
        <v>1.8327316181673207E-2</v>
      </c>
    </row>
    <row r="27" spans="2:5">
      <c r="B27" s="82" t="s">
        <v>1741</v>
      </c>
      <c r="C27" s="369">
        <v>86600</v>
      </c>
      <c r="D27" s="372">
        <f t="shared" si="0"/>
        <v>0.17319999999999999</v>
      </c>
      <c r="E27" s="373">
        <f>D27/(VLOOKUP(B27,'AGGREGATES by country'!B:I,8,0)/1000000000)*100</f>
        <v>6.6272530956418699E-3</v>
      </c>
    </row>
    <row r="28" spans="2:5">
      <c r="B28" s="82" t="s">
        <v>1119</v>
      </c>
      <c r="C28" s="369">
        <v>34259</v>
      </c>
      <c r="D28" s="372">
        <f t="shared" si="0"/>
        <v>6.8517999999999996E-2</v>
      </c>
      <c r="E28" s="373">
        <f>D28/(VLOOKUP(B28,'AGGREGATES by country'!B:I,8,0)/1000000000)*100</f>
        <v>0.21465666211374859</v>
      </c>
    </row>
    <row r="29" spans="2:5">
      <c r="B29" s="82" t="s">
        <v>1694</v>
      </c>
      <c r="C29" s="369">
        <v>55336</v>
      </c>
      <c r="D29" s="372">
        <f t="shared" si="0"/>
        <v>0.11067200000000001</v>
      </c>
      <c r="E29" s="373">
        <f>D29/(VLOOKUP(B29,'AGGREGATES by country'!B:I,8,0)/1000000000)*100</f>
        <v>1.553604993238231E-2</v>
      </c>
    </row>
    <row r="30" spans="2:5">
      <c r="B30" s="82" t="s">
        <v>1006</v>
      </c>
      <c r="C30" s="369">
        <v>38288</v>
      </c>
      <c r="D30" s="372">
        <f t="shared" si="0"/>
        <v>7.6576000000000005E-2</v>
      </c>
      <c r="E30" s="373">
        <f>D30/(VLOOKUP(B30,'AGGREGATES by country'!B:I,8,0)/1000000000)*100</f>
        <v>1.8987167078745874E-2</v>
      </c>
    </row>
    <row r="31" spans="2:5">
      <c r="B31" s="82" t="s">
        <v>701</v>
      </c>
      <c r="C31" s="369">
        <v>26629</v>
      </c>
      <c r="D31" s="372">
        <f t="shared" si="0"/>
        <v>5.3258E-2</v>
      </c>
      <c r="E31" s="373">
        <f>D31/(VLOOKUP(B31,'AGGREGATES by country'!B:I,8,0)/1000000000)*100</f>
        <v>2.0861100340833685E-2</v>
      </c>
    </row>
    <row r="32" spans="2:5">
      <c r="B32" s="82" t="s">
        <v>926</v>
      </c>
      <c r="C32" s="369">
        <v>15565</v>
      </c>
      <c r="D32" s="372">
        <f t="shared" si="0"/>
        <v>3.1130000000000001E-2</v>
      </c>
      <c r="E32" s="373">
        <f>D32/(VLOOKUP(B32,'AGGREGATES by country'!B:I,8,0)/1000000000)*100</f>
        <v>1.7408449272169592E-2</v>
      </c>
    </row>
    <row r="33" spans="2:5">
      <c r="B33" s="82" t="s">
        <v>1215</v>
      </c>
      <c r="C33" s="369">
        <v>66780</v>
      </c>
      <c r="D33" s="372">
        <f t="shared" si="0"/>
        <v>0.13356000000000001</v>
      </c>
      <c r="E33" s="373">
        <f>D33/(VLOOKUP(B33,'AGGREGATES by country'!B:I,8,0)/1000000000)*100</f>
        <v>1.5433274965875722E-2</v>
      </c>
    </row>
    <row r="34" spans="2:5">
      <c r="B34" s="82" t="s">
        <v>1546</v>
      </c>
      <c r="C34" s="369">
        <v>6861</v>
      </c>
      <c r="D34" s="372">
        <f t="shared" si="0"/>
        <v>1.3722E-2</v>
      </c>
      <c r="E34" s="373">
        <f>D34/(VLOOKUP(B34,'AGGREGATES by country'!B:I,8,0)/1000000000)*100</f>
        <v>2.7039629721686814E-2</v>
      </c>
    </row>
    <row r="35" spans="2:5">
      <c r="B35" s="82" t="s">
        <v>464</v>
      </c>
      <c r="C35" s="380">
        <v>15005</v>
      </c>
      <c r="D35" s="372">
        <f t="shared" si="0"/>
        <v>3.0009999999999998E-2</v>
      </c>
      <c r="E35" s="373">
        <f>D35/(VLOOKUP(B35,'AGGREGATES by country'!B:I,8,0)/1000000000)*100</f>
        <v>5.5399415912724646E-2</v>
      </c>
    </row>
    <row r="36" spans="2:5">
      <c r="B36" s="82" t="s">
        <v>1306</v>
      </c>
      <c r="C36" s="369">
        <v>19439</v>
      </c>
      <c r="D36" s="372">
        <f t="shared" si="0"/>
        <v>3.8878000000000003E-2</v>
      </c>
      <c r="E36" s="373">
        <f>D36/(VLOOKUP(B36,'AGGREGATES by country'!B:I,8,0)/1000000000)*100</f>
        <v>1.1334996854033788E-2</v>
      </c>
    </row>
    <row r="37" spans="2:5">
      <c r="B37" s="233" t="s">
        <v>350</v>
      </c>
      <c r="C37" s="369">
        <v>0</v>
      </c>
      <c r="D37" s="372">
        <f t="shared" si="0"/>
        <v>0</v>
      </c>
      <c r="E37" s="373">
        <f>D37/(VLOOKUP(B37,'AGGREGATES by country'!B:I,8,0)/1000000000)*100</f>
        <v>0</v>
      </c>
    </row>
    <row r="38" spans="2:5">
      <c r="B38" s="233" t="s">
        <v>490</v>
      </c>
      <c r="C38" s="369">
        <v>12478</v>
      </c>
      <c r="D38" s="372">
        <f t="shared" si="0"/>
        <v>2.4955999999999999E-2</v>
      </c>
      <c r="E38" s="373">
        <f>D38/(VLOOKUP(B38,'AGGREGATES by country'!B:I,8,0)/1000000000)*100</f>
        <v>0.10707313515610874</v>
      </c>
    </row>
    <row r="39" spans="2:5">
      <c r="B39" s="233" t="s">
        <v>503</v>
      </c>
      <c r="C39" s="369">
        <v>382768</v>
      </c>
      <c r="D39" s="372">
        <f t="shared" si="0"/>
        <v>0.76553599999999999</v>
      </c>
      <c r="E39" s="373">
        <f>D39/(VLOOKUP(B39,'AGGREGATES by country'!B:I,8,0)/1000000000)*100</f>
        <v>0.32950528109395594</v>
      </c>
    </row>
    <row r="40" spans="2:5">
      <c r="B40" s="233" t="s">
        <v>1080</v>
      </c>
      <c r="C40" s="369">
        <v>0</v>
      </c>
      <c r="D40" s="372">
        <f t="shared" si="0"/>
        <v>0</v>
      </c>
      <c r="E40" s="373">
        <f>D40/(VLOOKUP(B40,'AGGREGATES by country'!B:I,8,0)/1000000000)*100</f>
        <v>0</v>
      </c>
    </row>
    <row r="41" spans="2:5">
      <c r="B41" s="233" t="s">
        <v>1187</v>
      </c>
      <c r="C41" s="369">
        <v>5775</v>
      </c>
      <c r="D41" s="372">
        <f t="shared" si="0"/>
        <v>1.155E-2</v>
      </c>
      <c r="E41" s="373">
        <f>D41/(VLOOKUP(B41,'AGGREGATES by country'!B:I,8,0)/1000000000)*100</f>
        <v>1.6627511327737481E-2</v>
      </c>
    </row>
    <row r="42" spans="2:5">
      <c r="B42" s="233" t="s">
        <v>1207</v>
      </c>
      <c r="C42" s="369">
        <v>1250</v>
      </c>
      <c r="D42" s="372">
        <f t="shared" si="0"/>
        <v>2.5000000000000001E-3</v>
      </c>
      <c r="E42" s="373">
        <f>D42/(VLOOKUP(B42,'AGGREGATES by country'!B:I,8,0)/1000000000)*100</f>
        <v>1.802370116703465E-2</v>
      </c>
    </row>
    <row r="43" spans="2:5">
      <c r="B43" s="288" t="s">
        <v>1273</v>
      </c>
      <c r="C43" s="369">
        <v>0</v>
      </c>
      <c r="D43" s="372">
        <f t="shared" si="0"/>
        <v>0</v>
      </c>
      <c r="E43" s="373">
        <f>D43/(VLOOKUP(B43,'AGGREGATES by country'!B:I,8,0)/1000000000)*100</f>
        <v>0</v>
      </c>
    </row>
    <row r="44" spans="2:5">
      <c r="B44" s="288" t="s">
        <v>1449</v>
      </c>
      <c r="C44" s="369">
        <v>0</v>
      </c>
      <c r="D44" s="372">
        <f t="shared" si="0"/>
        <v>0</v>
      </c>
      <c r="E44" s="373">
        <f>D44/(VLOOKUP(B44,'AGGREGATES by country'!B:I,8,0)/1000000000)*100</f>
        <v>0</v>
      </c>
    </row>
    <row r="45" spans="2:5">
      <c r="B45" s="233" t="s">
        <v>1837</v>
      </c>
      <c r="C45" s="369">
        <v>0</v>
      </c>
      <c r="D45" s="372">
        <f t="shared" si="0"/>
        <v>0</v>
      </c>
      <c r="E45" s="373">
        <f>D45/(VLOOKUP(B45,'AGGREGATES by country'!B:I,8,0)/1000000000)*100</f>
        <v>0</v>
      </c>
    </row>
    <row r="46" spans="2:5">
      <c r="B46" s="233" t="s">
        <v>189</v>
      </c>
      <c r="C46" s="369">
        <v>0</v>
      </c>
      <c r="D46" s="372">
        <f t="shared" si="0"/>
        <v>0</v>
      </c>
      <c r="E46" s="373">
        <f>D46/(VLOOKUP(B46,'AGGREGATES by country'!B:I,8,0)/1000000000)*100</f>
        <v>0</v>
      </c>
    </row>
    <row r="47" spans="2:5">
      <c r="B47" s="288" t="s">
        <v>456</v>
      </c>
      <c r="C47" s="369">
        <v>0</v>
      </c>
      <c r="D47" s="372">
        <f t="shared" si="0"/>
        <v>0</v>
      </c>
      <c r="E47" s="373">
        <f>D47/(VLOOKUP(B47,'AGGREGATES by country'!B:I,8,0)/1000000000)*100</f>
        <v>0</v>
      </c>
    </row>
    <row r="48" spans="2:5">
      <c r="B48" s="288" t="s">
        <v>1721</v>
      </c>
      <c r="C48" s="369">
        <v>0</v>
      </c>
      <c r="D48" s="372">
        <f t="shared" si="0"/>
        <v>0</v>
      </c>
      <c r="E48" s="373">
        <f>D48/(VLOOKUP(B48,'AGGREGATES by country'!B:I,8,0)/1000000000)*100</f>
        <v>0</v>
      </c>
    </row>
    <row r="49" spans="2:5">
      <c r="B49" s="288" t="s">
        <v>998</v>
      </c>
      <c r="C49" s="369">
        <v>0</v>
      </c>
      <c r="D49" s="372">
        <f t="shared" si="0"/>
        <v>0</v>
      </c>
      <c r="E49" s="373">
        <f>D49/(VLOOKUP(B49,'AGGREGATES by country'!B:I,8,0)/1000000000)*100</f>
        <v>0</v>
      </c>
    </row>
  </sheetData>
  <hyperlinks>
    <hyperlink ref="C4" r:id="rId1" xr:uid="{00000000-0004-0000-1900-000000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7DF1-D60F-422C-9664-23B2ABAD8647}">
  <sheetPr>
    <tabColor rgb="FFF4B084"/>
  </sheetPr>
  <dimension ref="A1:W163"/>
  <sheetViews>
    <sheetView showGridLines="0" topLeftCell="C1" workbookViewId="0">
      <pane ySplit="1" topLeftCell="D13" activePane="bottomLeft" state="frozen"/>
      <selection pane="bottomLeft" activeCell="F15" sqref="F15"/>
    </sheetView>
  </sheetViews>
  <sheetFormatPr defaultColWidth="8.875" defaultRowHeight="15"/>
  <cols>
    <col min="1" max="1" width="8.875" style="117"/>
    <col min="2" max="2" width="60.375" style="94" bestFit="1" customWidth="1"/>
    <col min="3" max="3" width="11" style="131" bestFit="1" customWidth="1"/>
    <col min="4" max="4" width="38.125" style="94" bestFit="1" customWidth="1"/>
    <col min="5" max="5" width="33.375" style="94" bestFit="1" customWidth="1"/>
    <col min="6" max="6" width="36" style="94" bestFit="1" customWidth="1"/>
    <col min="7" max="7" width="34.25" style="94" customWidth="1"/>
    <col min="8" max="8" width="12.875" style="94" customWidth="1"/>
    <col min="9" max="9" width="18.875" style="94" bestFit="1" customWidth="1"/>
    <col min="10" max="10" width="16.375" style="94" customWidth="1"/>
    <col min="11" max="16" width="8.875" style="94"/>
    <col min="17" max="17" width="8.875" style="124"/>
    <col min="18" max="16384" width="8.875" style="94"/>
  </cols>
  <sheetData>
    <row r="1" spans="1:23" s="109" customFormat="1">
      <c r="A1" s="108" t="s">
        <v>2155</v>
      </c>
      <c r="B1" s="109" t="s">
        <v>2156</v>
      </c>
      <c r="C1" s="110" t="s">
        <v>2159</v>
      </c>
      <c r="D1" s="115" t="s">
        <v>2820</v>
      </c>
      <c r="E1" s="115" t="s">
        <v>2821</v>
      </c>
      <c r="F1" s="115" t="s">
        <v>2172</v>
      </c>
      <c r="G1" s="116" t="s">
        <v>2173</v>
      </c>
      <c r="H1" s="116" t="s">
        <v>2822</v>
      </c>
      <c r="I1" s="116"/>
      <c r="J1" s="116"/>
      <c r="K1" s="116"/>
      <c r="L1" s="116"/>
      <c r="M1" s="116"/>
      <c r="N1" s="116"/>
      <c r="O1" s="116"/>
    </row>
    <row r="2" spans="1:23">
      <c r="A2" s="117">
        <v>0</v>
      </c>
      <c r="B2" s="512" t="s">
        <v>189</v>
      </c>
      <c r="C2" s="513">
        <f>SUMIFS('MAIN DATASET'!R:R,'MAIN DATASET'!D:D,"Military",'MAIN DATASET'!B:B,'Military aid by type'!B2)/1000000000</f>
        <v>0.18533767182415831</v>
      </c>
      <c r="D2" s="94">
        <f>SUMIFS('MAIN DATASET'!R:R,'MAIN DATASET'!E:E,"Weapons", 'MAIN DATASET'!B:B,'Military aid by type'!B2)/1000000000+SUMIFS('MAIN DATASET'!R:R,'MAIN DATASET'!E:E,"Weapons and equipment", 'MAIN DATASET'!B:B,'Military aid by type'!B2)/1000000000+SUMIFS('MAIN DATASET'!R:R,'MAIN DATASET'!E:E,"Weapons and training", 'MAIN DATASET'!B:B,'Military aid by type'!B2)/1000000000+SUMIFS('MAIN DATASET'!R:R,'MAIN DATASET'!E:E,"Weapons and Assistance", 'MAIN DATASET'!B:B,'Military aid by type'!B2)/1000000000+SUMIFS('MAIN DATASET'!R:R,'MAIN DATASET'!E:E,"Military Equipment", 'MAIN DATASET'!B:B,'Military aid by type'!B2)/1000000000</f>
        <v>0.18533767182415833</v>
      </c>
      <c r="E2" s="94">
        <v>0</v>
      </c>
      <c r="F2" s="94">
        <f>D2+E2</f>
        <v>0.18533767182415833</v>
      </c>
      <c r="G2" s="512">
        <f>C2-F2</f>
        <v>0</v>
      </c>
      <c r="H2" s="512"/>
      <c r="I2" s="512"/>
      <c r="J2" s="516"/>
      <c r="K2" s="512"/>
      <c r="L2" s="512"/>
      <c r="M2" s="512"/>
      <c r="N2" s="512"/>
      <c r="O2" s="512"/>
      <c r="Q2" s="517"/>
    </row>
    <row r="3" spans="1:23">
      <c r="A3" s="117">
        <v>1</v>
      </c>
      <c r="B3" s="94" t="s">
        <v>257</v>
      </c>
      <c r="C3" s="513">
        <f>SUMIFS('MAIN DATASET'!R:R,'MAIN DATASET'!D:D,"Military",'MAIN DATASET'!B:B,'Military aid by type'!B3)/1000000000</f>
        <v>3.3860407670454539E-3</v>
      </c>
      <c r="D3" s="94">
        <f>SUMIFS('MAIN DATASET'!R:R,'MAIN DATASET'!E:E,"Weapons", 'MAIN DATASET'!B:B,'Military aid by type'!B3)/1000000000+SUMIFS('MAIN DATASET'!R:R,'MAIN DATASET'!E:E,"Weapons and equipment", 'MAIN DATASET'!B:B,'Military aid by type'!B3)/1000000000+SUMIFS('MAIN DATASET'!R:R,'MAIN DATASET'!E:E,"Weapons and training", 'MAIN DATASET'!B:B,'Military aid by type'!B3)/1000000000+SUMIFS('MAIN DATASET'!R:R,'MAIN DATASET'!E:E,"Weapons and Assistance", 'MAIN DATASET'!B:B,'Military aid by type'!B3)/1000000000+SUMIFS('MAIN DATASET'!R:R,'MAIN DATASET'!E:E,"Military Equipment", 'MAIN DATASET'!B:B,'Military aid by type'!B3)/1000000000</f>
        <v>3.3860407670454539E-3</v>
      </c>
      <c r="E3" s="94">
        <v>0</v>
      </c>
      <c r="F3" s="94">
        <f t="shared" ref="F3:F42" si="0">D3+E3</f>
        <v>3.3860407670454539E-3</v>
      </c>
      <c r="G3" s="512">
        <f t="shared" ref="G3:G42" si="1">C3-F3</f>
        <v>0</v>
      </c>
      <c r="H3" s="512"/>
      <c r="I3" s="512"/>
      <c r="J3" s="516"/>
      <c r="K3" s="512"/>
      <c r="L3" s="512"/>
      <c r="M3" s="512"/>
      <c r="N3" s="512"/>
      <c r="O3" s="512"/>
      <c r="Q3" s="517"/>
    </row>
    <row r="4" spans="1:23">
      <c r="A4" s="117">
        <v>1</v>
      </c>
      <c r="B4" s="94" t="s">
        <v>296</v>
      </c>
      <c r="C4" s="513">
        <f>SUMIFS('MAIN DATASET'!R:R,'MAIN DATASET'!D:D,"Military",'MAIN DATASET'!B:B,'Military aid by type'!B4)/1000000000</f>
        <v>7.5999999999999998E-2</v>
      </c>
      <c r="D4" s="94">
        <f>SUMIFS('MAIN DATASET'!R:R,'MAIN DATASET'!E:E,"Weapons", 'MAIN DATASET'!B:B,'Military aid by type'!B4)/1000000000+SUMIFS('MAIN DATASET'!R:R,'MAIN DATASET'!E:E,"Weapons and equipment", 'MAIN DATASET'!B:B,'Military aid by type'!B4)/1000000000+SUMIFS('MAIN DATASET'!R:R,'MAIN DATASET'!E:E,"Weapons and training", 'MAIN DATASET'!B:B,'Military aid by type'!B4)/1000000000+SUMIFS('MAIN DATASET'!R:R,'MAIN DATASET'!E:E,"Weapons and Assistance", 'MAIN DATASET'!B:B,'Military aid by type'!B4)/1000000000+SUMIFS('MAIN DATASET'!R:R,'MAIN DATASET'!E:E,"Military Equipment", 'MAIN DATASET'!B:B,'Military aid by type'!B4)/1000000000</f>
        <v>7.5999999999999998E-2</v>
      </c>
      <c r="E4" s="94">
        <v>0</v>
      </c>
      <c r="F4" s="94">
        <f t="shared" si="0"/>
        <v>7.5999999999999998E-2</v>
      </c>
      <c r="G4" s="512">
        <f t="shared" si="1"/>
        <v>0</v>
      </c>
      <c r="H4" s="512"/>
      <c r="I4" s="512"/>
      <c r="J4" s="516"/>
      <c r="K4" s="512"/>
      <c r="L4" s="512"/>
      <c r="M4" s="512"/>
      <c r="N4" s="512"/>
      <c r="O4" s="512"/>
      <c r="Q4" s="517"/>
      <c r="T4" s="997"/>
      <c r="U4" s="997"/>
      <c r="V4" s="997"/>
      <c r="W4" s="997"/>
    </row>
    <row r="5" spans="1:23" ht="15.75" customHeight="1">
      <c r="A5" s="125">
        <v>1</v>
      </c>
      <c r="B5" s="126" t="s">
        <v>329</v>
      </c>
      <c r="C5" s="513">
        <f>SUMIFS('MAIN DATASET'!R:R,'MAIN DATASET'!D:D,"Military",'MAIN DATASET'!B:B,'Military aid by type'!B5)/1000000000</f>
        <v>3.5984848484848482E-3</v>
      </c>
      <c r="D5" s="94">
        <f>SUMIFS('MAIN DATASET'!R:R,'MAIN DATASET'!E:E,"Weapons", 'MAIN DATASET'!B:B,'Military aid by type'!B5)/1000000000+SUMIFS('MAIN DATASET'!R:R,'MAIN DATASET'!E:E,"Weapons and equipment", 'MAIN DATASET'!B:B,'Military aid by type'!B5)/1000000000+SUMIFS('MAIN DATASET'!R:R,'MAIN DATASET'!E:E,"Weapons and training", 'MAIN DATASET'!B:B,'Military aid by type'!B5)/1000000000+SUMIFS('MAIN DATASET'!R:R,'MAIN DATASET'!E:E,"Weapons and Assistance", 'MAIN DATASET'!B:B,'Military aid by type'!B5)/1000000000+SUMIFS('MAIN DATASET'!R:R,'MAIN DATASET'!E:E,"Military Equipment", 'MAIN DATASET'!B:B,'Military aid by type'!B5)/1000000000</f>
        <v>3.5984848484848482E-3</v>
      </c>
      <c r="E5" s="94">
        <v>0</v>
      </c>
      <c r="F5" s="94">
        <f t="shared" si="0"/>
        <v>3.5984848484848482E-3</v>
      </c>
      <c r="G5" s="512">
        <f t="shared" si="1"/>
        <v>0</v>
      </c>
      <c r="H5" s="512"/>
      <c r="I5" s="512"/>
      <c r="J5" s="516"/>
      <c r="K5" s="512"/>
      <c r="L5" s="512"/>
      <c r="M5" s="512"/>
      <c r="N5" s="512"/>
      <c r="O5" s="512"/>
      <c r="Q5" s="517"/>
      <c r="T5" s="997"/>
      <c r="U5" s="997"/>
      <c r="V5" s="997"/>
      <c r="W5" s="997"/>
    </row>
    <row r="6" spans="1:23" ht="15.75">
      <c r="A6" s="117">
        <v>0</v>
      </c>
      <c r="B6" s="94" t="s">
        <v>350</v>
      </c>
      <c r="C6" s="513">
        <f>SUMIFS('MAIN DATASET'!R:R,'MAIN DATASET'!D:D,"Military",'MAIN DATASET'!B:B,'Military aid by type'!B6)/1000000000</f>
        <v>0.91932362269517998</v>
      </c>
      <c r="D6" s="94">
        <f>(SUMIFS('MAIN DATASET'!R:R,'MAIN DATASET'!E:E,"Weapons", 'MAIN DATASET'!B:B,'Military aid by type'!B6)/1000000000+SUMIFS('MAIN DATASET'!R:R,'MAIN DATASET'!E:E,"Weapons and equipment", 'MAIN DATASET'!B:B,'Military aid by type'!B6)/1000000000+SUMIFS('MAIN DATASET'!R:R,'MAIN DATASET'!E:E,"Weapons and training", 'MAIN DATASET'!B:B,'Military aid by type'!B6)/1000000000+SUMIFS('MAIN DATASET'!R:R,'MAIN DATASET'!E:E,"Weapons and Assistance", 'MAIN DATASET'!B:B,'Military aid by type'!B6)/1000000000+SUMIFS('MAIN DATASET'!R:R,'MAIN DATASET'!E:E,"Military Equipment", 'MAIN DATASET'!B:B,'Military aid by type'!B6)/1000000000)</f>
        <v>0.91932362269517987</v>
      </c>
      <c r="E6">
        <v>0</v>
      </c>
      <c r="F6" s="94">
        <f t="shared" si="0"/>
        <v>0.91932362269517987</v>
      </c>
      <c r="G6" s="512">
        <f t="shared" si="1"/>
        <v>0</v>
      </c>
      <c r="H6" s="512" t="s">
        <v>2823</v>
      </c>
      <c r="I6" s="512"/>
      <c r="J6" s="516"/>
      <c r="K6" s="512"/>
      <c r="L6" s="512"/>
      <c r="M6" s="512"/>
      <c r="N6" s="512"/>
      <c r="O6" s="512"/>
      <c r="Q6" s="517"/>
      <c r="T6" s="997"/>
      <c r="U6" s="997"/>
      <c r="V6" s="997"/>
      <c r="W6" s="997"/>
    </row>
    <row r="7" spans="1:23">
      <c r="A7" s="117">
        <v>1</v>
      </c>
      <c r="B7" s="94" t="s">
        <v>464</v>
      </c>
      <c r="C7" s="513">
        <f>SUMIFS('MAIN DATASET'!R:R,'MAIN DATASET'!D:D,"Military",'MAIN DATASET'!B:B,'Military aid by type'!B7)/1000000000</f>
        <v>1.6477310477709121E-2</v>
      </c>
      <c r="D7" s="94">
        <f>SUMIFS('MAIN DATASET'!R:R,'MAIN DATASET'!E:E,"Weapons", 'MAIN DATASET'!B:B,'Military aid by type'!B7)/1000000000+SUMIFS('MAIN DATASET'!R:R,'MAIN DATASET'!E:E,"Weapons and equipment", 'MAIN DATASET'!B:B,'Military aid by type'!B7)/1000000000+SUMIFS('MAIN DATASET'!R:R,'MAIN DATASET'!E:E,"Weapons and training", 'MAIN DATASET'!B:B,'Military aid by type'!B7)/1000000000+SUMIFS('MAIN DATASET'!R:R,'MAIN DATASET'!E:E,"Weapons and Assistance", 'MAIN DATASET'!B:B,'Military aid by type'!B7)/1000000000+SUMIFS('MAIN DATASET'!R:R,'MAIN DATASET'!E:E,"Military Equipment", 'MAIN DATASET'!B:B,'Military aid by type'!B7)/1000000000</f>
        <v>1.6477310477709121E-2</v>
      </c>
      <c r="E7" s="94">
        <v>0</v>
      </c>
      <c r="F7" s="94">
        <f t="shared" si="0"/>
        <v>1.6477310477709121E-2</v>
      </c>
      <c r="G7" s="512">
        <f t="shared" si="1"/>
        <v>0</v>
      </c>
      <c r="H7" s="512"/>
      <c r="I7" s="512"/>
      <c r="J7" s="516"/>
      <c r="K7" s="512"/>
      <c r="L7" s="512"/>
      <c r="M7" s="512"/>
      <c r="N7" s="512"/>
      <c r="O7" s="512"/>
      <c r="Q7" s="517"/>
      <c r="T7" s="997"/>
      <c r="U7" s="997"/>
      <c r="V7" s="997"/>
      <c r="W7" s="997"/>
    </row>
    <row r="8" spans="1:23" ht="15.75" customHeight="1">
      <c r="A8" s="117">
        <v>1</v>
      </c>
      <c r="B8" s="94" t="s">
        <v>490</v>
      </c>
      <c r="C8" s="513">
        <f>SUMIFS('MAIN DATASET'!R:R,'MAIN DATASET'!D:D,"Military",'MAIN DATASET'!B:B,'Military aid by type'!B8)/1000000000</f>
        <v>0</v>
      </c>
      <c r="D8" s="94">
        <f>SUMIFS('MAIN DATASET'!R:R,'MAIN DATASET'!E:E,"Weapons", 'MAIN DATASET'!B:B,'Military aid by type'!B8)/1000000000+SUMIFS('MAIN DATASET'!R:R,'MAIN DATASET'!E:E,"Weapons and equipment", 'MAIN DATASET'!B:B,'Military aid by type'!B8)/1000000000+SUMIFS('MAIN DATASET'!R:R,'MAIN DATASET'!E:E,"Weapons and training", 'MAIN DATASET'!B:B,'Military aid by type'!B8)/1000000000+SUMIFS('MAIN DATASET'!R:R,'MAIN DATASET'!E:E,"Weapons and Assistance", 'MAIN DATASET'!B:B,'Military aid by type'!B8)/1000000000+SUMIFS('MAIN DATASET'!R:R,'MAIN DATASET'!E:E,"Military Equipment", 'MAIN DATASET'!B:B,'Military aid by type'!B8)/1000000000</f>
        <v>0</v>
      </c>
      <c r="E8" s="94">
        <v>0</v>
      </c>
      <c r="F8" s="94">
        <f t="shared" si="0"/>
        <v>0</v>
      </c>
      <c r="G8" s="512">
        <f t="shared" si="1"/>
        <v>0</v>
      </c>
      <c r="H8" s="512"/>
      <c r="I8" s="512"/>
      <c r="J8" s="516"/>
      <c r="K8" s="512"/>
      <c r="L8" s="512"/>
      <c r="M8" s="512"/>
      <c r="N8" s="512"/>
      <c r="O8" s="512"/>
      <c r="Q8" s="517"/>
    </row>
    <row r="9" spans="1:23">
      <c r="A9" s="117">
        <v>1</v>
      </c>
      <c r="B9" s="94" t="s">
        <v>503</v>
      </c>
      <c r="C9" s="513">
        <f>SUMIFS('MAIN DATASET'!R:R,'MAIN DATASET'!D:D,"Military",'MAIN DATASET'!B:B,'Military aid by type'!B9)/1000000000</f>
        <v>0.25621643027857555</v>
      </c>
      <c r="D9" s="94">
        <f>SUMIFS('MAIN DATASET'!R:R,'MAIN DATASET'!E:E,"Weapons", 'MAIN DATASET'!B:B,'Military aid by type'!B9)/1000000000+SUMIFS('MAIN DATASET'!R:R,'MAIN DATASET'!E:E,"Weapons and equipment", 'MAIN DATASET'!B:B,'Military aid by type'!B9)/1000000000+SUMIFS('MAIN DATASET'!R:R,'MAIN DATASET'!E:E,"Weapons and training", 'MAIN DATASET'!B:B,'Military aid by type'!B9)/1000000000+SUMIFS('MAIN DATASET'!R:R,'MAIN DATASET'!E:E,"Weapons and Assistance", 'MAIN DATASET'!B:B,'Military aid by type'!B9)/1000000000+SUMIFS('MAIN DATASET'!R:R,'MAIN DATASET'!E:E,"Military Equipment", 'MAIN DATASET'!B:B,'Military aid by type'!B9)/1000000000</f>
        <v>0.25621643027857555</v>
      </c>
      <c r="E9" s="94">
        <v>0</v>
      </c>
      <c r="F9" s="94">
        <f t="shared" si="0"/>
        <v>0.25621643027857555</v>
      </c>
      <c r="G9" s="512">
        <f t="shared" si="1"/>
        <v>0</v>
      </c>
      <c r="H9" s="512"/>
      <c r="I9" s="512"/>
      <c r="J9" s="516"/>
      <c r="K9" s="512"/>
      <c r="L9" s="512"/>
      <c r="M9" s="512"/>
      <c r="N9" s="512"/>
      <c r="O9" s="512"/>
      <c r="Q9" s="517"/>
    </row>
    <row r="10" spans="1:23">
      <c r="A10" s="117">
        <v>1</v>
      </c>
      <c r="B10" s="94" t="s">
        <v>618</v>
      </c>
      <c r="C10" s="513">
        <f>SUMIFS('MAIN DATASET'!R:R,'MAIN DATASET'!D:D,"Military",'MAIN DATASET'!B:B,'Military aid by type'!B10)/1000000000</f>
        <v>0.26884611248521345</v>
      </c>
      <c r="D10" s="94">
        <f>SUMIFS('MAIN DATASET'!R:R,'MAIN DATASET'!E:E,"Weapons", 'MAIN DATASET'!B:B,'Military aid by type'!B10)/1000000000+SUMIFS('MAIN DATASET'!R:R,'MAIN DATASET'!E:E,"Weapons and equipment", 'MAIN DATASET'!B:B,'Military aid by type'!B10)/1000000000+SUMIFS('MAIN DATASET'!R:R,'MAIN DATASET'!E:E,"Weapons and training", 'MAIN DATASET'!B:B,'Military aid by type'!B10)/1000000000+SUMIFS('MAIN DATASET'!R:R,'MAIN DATASET'!E:E,"Weapons and Assistance", 'MAIN DATASET'!B:B,'Military aid by type'!B10)/1000000000+SUMIFS('MAIN DATASET'!R:R,'MAIN DATASET'!E:E,"Military Equipment", 'MAIN DATASET'!B:B,'Military aid by type'!B10)/1000000000</f>
        <v>0.26884611248521345</v>
      </c>
      <c r="E10" s="94">
        <v>0</v>
      </c>
      <c r="F10" s="94">
        <f t="shared" si="0"/>
        <v>0.26884611248521345</v>
      </c>
      <c r="G10" s="512">
        <f t="shared" si="1"/>
        <v>0</v>
      </c>
      <c r="H10" s="512"/>
      <c r="I10" s="512"/>
      <c r="J10" s="516"/>
      <c r="K10" s="512"/>
      <c r="L10" s="512"/>
      <c r="M10" s="512"/>
      <c r="N10" s="512"/>
      <c r="O10" s="512"/>
      <c r="Q10" s="517"/>
    </row>
    <row r="11" spans="1:23">
      <c r="A11" s="117">
        <v>1</v>
      </c>
      <c r="B11" s="94" t="s">
        <v>666</v>
      </c>
      <c r="C11" s="513">
        <f>SUMIFS('MAIN DATASET'!R:R,'MAIN DATASET'!D:D,"Military",'MAIN DATASET'!B:B,'Military aid by type'!B11)/1000000000</f>
        <v>0.245</v>
      </c>
      <c r="D11" s="94">
        <f>SUMIFS('MAIN DATASET'!R:R,'MAIN DATASET'!E:E,"Weapons", 'MAIN DATASET'!B:B,'Military aid by type'!B11)/1000000000+SUMIFS('MAIN DATASET'!R:R,'MAIN DATASET'!E:E,"Weapons and equipment", 'MAIN DATASET'!B:B,'Military aid by type'!B11)/1000000000+SUMIFS('MAIN DATASET'!R:R,'MAIN DATASET'!E:E,"Weapons and training", 'MAIN DATASET'!B:B,'Military aid by type'!B11)/1000000000+SUMIFS('MAIN DATASET'!R:R,'MAIN DATASET'!E:E,"Weapons and Assistance", 'MAIN DATASET'!B:B,'Military aid by type'!B11)/1000000000+SUMIFS('MAIN DATASET'!R:R,'MAIN DATASET'!E:E,"Military Equipment", 'MAIN DATASET'!B:B,'Military aid by type'!B11)/1000000000</f>
        <v>0.245</v>
      </c>
      <c r="E11" s="94">
        <v>0</v>
      </c>
      <c r="F11" s="94">
        <f t="shared" si="0"/>
        <v>0.245</v>
      </c>
      <c r="G11" s="512">
        <f t="shared" si="1"/>
        <v>0</v>
      </c>
      <c r="H11" s="512"/>
      <c r="I11" s="512"/>
      <c r="J11" s="516"/>
      <c r="K11" s="512"/>
      <c r="L11" s="512"/>
      <c r="M11" s="512"/>
      <c r="N11" s="512"/>
      <c r="O11" s="512"/>
      <c r="Q11" s="517"/>
    </row>
    <row r="12" spans="1:23">
      <c r="A12" s="117">
        <v>0</v>
      </c>
      <c r="B12" s="94" t="s">
        <v>2015</v>
      </c>
      <c r="C12" s="513">
        <f>SUMIFS('MAIN DATASET'!R:R,'MAIN DATASET'!D:D,"Military",'MAIN DATASET'!B:B,'Military aid by type'!B12)/1000000000</f>
        <v>0</v>
      </c>
      <c r="D12" s="94">
        <f>SUMIFS('MAIN DATASET'!R:R,'MAIN DATASET'!E:E,"Weapons", 'MAIN DATASET'!B:B,'Military aid by type'!B12)/1000000000+SUMIFS('MAIN DATASET'!R:R,'MAIN DATASET'!E:E,"Weapons and equipment", 'MAIN DATASET'!B:B,'Military aid by type'!B12)/1000000000+SUMIFS('MAIN DATASET'!R:R,'MAIN DATASET'!E:E,"Weapons and training", 'MAIN DATASET'!B:B,'Military aid by type'!B12)/1000000000+SUMIFS('MAIN DATASET'!R:R,'MAIN DATASET'!E:E,"Weapons and Assistance", 'MAIN DATASET'!B:B,'Military aid by type'!B12)/1000000000+SUMIFS('MAIN DATASET'!R:R,'MAIN DATASET'!E:E,"Military Equipment", 'MAIN DATASET'!B:B,'Military aid by type'!B12)/1000000000</f>
        <v>0</v>
      </c>
      <c r="E12" s="94">
        <v>0</v>
      </c>
      <c r="F12" s="94">
        <f t="shared" si="0"/>
        <v>0</v>
      </c>
      <c r="G12" s="512">
        <f t="shared" si="1"/>
        <v>0</v>
      </c>
      <c r="H12" s="512"/>
      <c r="I12" s="512"/>
      <c r="J12" s="516"/>
      <c r="K12" s="512"/>
      <c r="L12" s="512"/>
      <c r="M12" s="512"/>
      <c r="N12" s="512"/>
      <c r="O12" s="512"/>
      <c r="Q12" s="517"/>
    </row>
    <row r="13" spans="1:23">
      <c r="A13" s="117">
        <v>1</v>
      </c>
      <c r="B13" s="94" t="s">
        <v>701</v>
      </c>
      <c r="C13" s="513">
        <f>SUMIFS('MAIN DATASET'!R:R,'MAIN DATASET'!D:D,"Military",'MAIN DATASET'!B:B,'Military aid by type'!B13)/1000000000</f>
        <v>2.93E-2</v>
      </c>
      <c r="D13" s="94">
        <f>SUMIFS('MAIN DATASET'!R:R,'MAIN DATASET'!E:E,"Weapons", 'MAIN DATASET'!B:B,'Military aid by type'!B13)/1000000000+SUMIFS('MAIN DATASET'!R:R,'MAIN DATASET'!E:E,"Weapons and equipment", 'MAIN DATASET'!B:B,'Military aid by type'!B13)/1000000000+SUMIFS('MAIN DATASET'!R:R,'MAIN DATASET'!E:E,"Weapons and training", 'MAIN DATASET'!B:B,'Military aid by type'!B13)/1000000000+SUMIFS('MAIN DATASET'!R:R,'MAIN DATASET'!E:E,"Weapons and Assistance", 'MAIN DATASET'!B:B,'Military aid by type'!B13)/1000000000+SUMIFS('MAIN DATASET'!R:R,'MAIN DATASET'!E:E,"Military Equipment", 'MAIN DATASET'!B:B,'Military aid by type'!B13)/1000000000</f>
        <v>2.93E-2</v>
      </c>
      <c r="E13" s="94">
        <v>0</v>
      </c>
      <c r="F13" s="94">
        <f t="shared" si="0"/>
        <v>2.93E-2</v>
      </c>
      <c r="G13" s="512">
        <f t="shared" si="1"/>
        <v>0</v>
      </c>
      <c r="H13" s="512"/>
      <c r="I13" s="512"/>
      <c r="J13" s="516"/>
      <c r="K13" s="512"/>
      <c r="L13" s="512"/>
      <c r="M13" s="512"/>
      <c r="N13" s="512"/>
      <c r="O13" s="512"/>
      <c r="Q13" s="517"/>
    </row>
    <row r="14" spans="1:23">
      <c r="A14" s="117">
        <v>1</v>
      </c>
      <c r="B14" s="94" t="s">
        <v>763</v>
      </c>
      <c r="C14" s="513">
        <f>SUMIFS('MAIN DATASET'!R:R,'MAIN DATASET'!D:D,"Military",'MAIN DATASET'!B:B,'Military aid by type'!B14)/1000000000</f>
        <v>0.19375000000000001</v>
      </c>
      <c r="D14" s="94">
        <f>SUMIFS('MAIN DATASET'!R:R,'MAIN DATASET'!E:E,"Weapons", 'MAIN DATASET'!B:B,'Military aid by type'!B14)/1000000000+SUMIFS('MAIN DATASET'!R:R,'MAIN DATASET'!E:E,"Weapons and equipment", 'MAIN DATASET'!B:B,'Military aid by type'!B14)/1000000000+SUMIFS('MAIN DATASET'!R:R,'MAIN DATASET'!E:E,"Weapons and training", 'MAIN DATASET'!B:B,'Military aid by type'!B14)/1000000000+SUMIFS('MAIN DATASET'!R:R,'MAIN DATASET'!E:E,"Weapons and Assistance", 'MAIN DATASET'!B:B,'Military aid by type'!B14)/1000000000+SUMIFS('MAIN DATASET'!R:R,'MAIN DATASET'!E:E,"Military Equipment", 'MAIN DATASET'!B:B,'Military aid by type'!B14)/1000000000</f>
        <v>0.19375000000000001</v>
      </c>
      <c r="E14" s="94">
        <v>0</v>
      </c>
      <c r="F14" s="94">
        <f t="shared" si="0"/>
        <v>0.19375000000000001</v>
      </c>
      <c r="G14" s="512">
        <f t="shared" si="1"/>
        <v>0</v>
      </c>
      <c r="H14" s="512"/>
      <c r="I14" s="512"/>
      <c r="J14" s="516"/>
      <c r="K14" s="512"/>
      <c r="L14" s="512"/>
      <c r="M14" s="512"/>
      <c r="N14" s="512"/>
      <c r="O14" s="512"/>
      <c r="Q14" s="517"/>
    </row>
    <row r="15" spans="1:23" ht="15.75">
      <c r="A15" s="117">
        <v>1</v>
      </c>
      <c r="B15" s="94" t="s">
        <v>840</v>
      </c>
      <c r="C15" s="513">
        <f>SUMIFS('MAIN DATASET'!R:R,'MAIN DATASET'!D:D,"Military",'MAIN DATASET'!B:B,'Military aid by type'!B15)/1000000000</f>
        <v>1.4395290571969697</v>
      </c>
      <c r="D15" s="94">
        <f>(SUMIFS('MAIN DATASET'!R:R,'MAIN DATASET'!E:E,"Weapons", 'MAIN DATASET'!B:B,'Military aid by type'!B15)/1000000000+SUMIFS('MAIN DATASET'!R:R,'MAIN DATASET'!E:E,"Weapons and equipment", 'MAIN DATASET'!B:B,'Military aid by type'!B15)/1000000000+SUMIFS('MAIN DATASET'!R:R,'MAIN DATASET'!E:E,"Weapons and training", 'MAIN DATASET'!B:B,'Military aid by type'!B15)/1000000000+SUMIFS('MAIN DATASET'!R:R,'MAIN DATASET'!E:E,"Weapons and Assistance", 'MAIN DATASET'!B:B,'Military aid by type'!B15)/1000000000+SUMIFS('MAIN DATASET'!R:R,'MAIN DATASET'!E:E,"Military Equipment", 'MAIN DATASET'!B:B,'Military aid by type'!B15)/1000000000)</f>
        <v>1.4395290571969697</v>
      </c>
      <c r="E15">
        <v>-0.76439999999999997</v>
      </c>
      <c r="F15" s="94">
        <f t="shared" si="0"/>
        <v>0.6751290571969697</v>
      </c>
      <c r="G15" s="512">
        <f t="shared" si="1"/>
        <v>0.76439999999999997</v>
      </c>
      <c r="H15" s="512" t="s">
        <v>2824</v>
      </c>
      <c r="I15" s="512"/>
      <c r="J15" s="516"/>
      <c r="K15" s="512"/>
      <c r="L15" s="512"/>
      <c r="M15" s="512"/>
      <c r="N15" s="512"/>
      <c r="O15" s="512"/>
      <c r="Q15" s="517"/>
    </row>
    <row r="16" spans="1:23">
      <c r="A16" s="117">
        <v>1</v>
      </c>
      <c r="B16" s="94" t="s">
        <v>926</v>
      </c>
      <c r="C16" s="513">
        <f>SUMIFS('MAIN DATASET'!R:R,'MAIN DATASET'!D:D,"Military",'MAIN DATASET'!B:B,'Military aid by type'!B16)/1000000000</f>
        <v>0.24734007386363635</v>
      </c>
      <c r="D16" s="94">
        <f>SUMIFS('MAIN DATASET'!R:R,'MAIN DATASET'!E:E,"Weapons", 'MAIN DATASET'!B:B,'Military aid by type'!B16)/1000000000+SUMIFS('MAIN DATASET'!R:R,'MAIN DATASET'!E:E,"Weapons and equipment", 'MAIN DATASET'!B:B,'Military aid by type'!B16)/1000000000+SUMIFS('MAIN DATASET'!R:R,'MAIN DATASET'!E:E,"Weapons and training", 'MAIN DATASET'!B:B,'Military aid by type'!B16)/1000000000+SUMIFS('MAIN DATASET'!R:R,'MAIN DATASET'!E:E,"Weapons and Assistance", 'MAIN DATASET'!B:B,'Military aid by type'!B16)/1000000000+SUMIFS('MAIN DATASET'!R:R,'MAIN DATASET'!E:E,"Military Equipment", 'MAIN DATASET'!B:B,'Military aid by type'!B16)/1000000000</f>
        <v>0.24734007386363635</v>
      </c>
      <c r="E16" s="94">
        <v>0</v>
      </c>
      <c r="F16" s="94">
        <f t="shared" si="0"/>
        <v>0.24734007386363635</v>
      </c>
      <c r="G16" s="512">
        <f t="shared" si="1"/>
        <v>0</v>
      </c>
      <c r="H16" s="512"/>
      <c r="I16" s="512"/>
      <c r="J16" s="516"/>
      <c r="K16" s="512"/>
      <c r="L16" s="512"/>
      <c r="M16" s="512"/>
      <c r="N16" s="512"/>
      <c r="O16" s="512"/>
      <c r="Q16" s="517"/>
    </row>
    <row r="17" spans="1:17">
      <c r="A17" s="117">
        <v>1</v>
      </c>
      <c r="B17" s="94" t="s">
        <v>963</v>
      </c>
      <c r="C17" s="513">
        <f>SUMIFS('MAIN DATASET'!R:R,'MAIN DATASET'!D:D,"Military",'MAIN DATASET'!B:B,'Military aid by type'!B17)/1000000000</f>
        <v>0</v>
      </c>
      <c r="D17" s="94">
        <f>SUMIFS('MAIN DATASET'!R:R,'MAIN DATASET'!E:E,"Weapons", 'MAIN DATASET'!B:B,'Military aid by type'!B17)/1000000000+SUMIFS('MAIN DATASET'!R:R,'MAIN DATASET'!E:E,"Weapons and equipment", 'MAIN DATASET'!B:B,'Military aid by type'!B17)/1000000000+SUMIFS('MAIN DATASET'!R:R,'MAIN DATASET'!E:E,"Weapons and training", 'MAIN DATASET'!B:B,'Military aid by type'!B17)/1000000000+SUMIFS('MAIN DATASET'!R:R,'MAIN DATASET'!E:E,"Weapons and Assistance", 'MAIN DATASET'!B:B,'Military aid by type'!B17)/1000000000+SUMIFS('MAIN DATASET'!R:R,'MAIN DATASET'!E:E,"Military Equipment", 'MAIN DATASET'!B:B,'Military aid by type'!B17)/1000000000</f>
        <v>0</v>
      </c>
      <c r="E17" s="94">
        <v>0</v>
      </c>
      <c r="F17" s="94">
        <f t="shared" si="0"/>
        <v>0</v>
      </c>
      <c r="G17" s="512">
        <f t="shared" si="1"/>
        <v>0</v>
      </c>
      <c r="H17" s="512"/>
      <c r="I17" s="512"/>
      <c r="J17" s="516"/>
      <c r="K17" s="512"/>
      <c r="L17" s="512"/>
      <c r="M17" s="512"/>
      <c r="N17" s="512"/>
      <c r="O17" s="512"/>
      <c r="Q17" s="517"/>
    </row>
    <row r="18" spans="1:17">
      <c r="A18" s="117">
        <v>1</v>
      </c>
      <c r="B18" s="94" t="s">
        <v>1006</v>
      </c>
      <c r="C18" s="513">
        <f>SUMIFS('MAIN DATASET'!R:R,'MAIN DATASET'!D:D,"Military",'MAIN DATASET'!B:B,'Military aid by type'!B18)/1000000000</f>
        <v>0</v>
      </c>
      <c r="D18" s="94">
        <f>SUMIFS('MAIN DATASET'!R:R,'MAIN DATASET'!E:E,"Weapons", 'MAIN DATASET'!B:B,'Military aid by type'!B18)/1000000000+SUMIFS('MAIN DATASET'!R:R,'MAIN DATASET'!E:E,"Weapons and equipment", 'MAIN DATASET'!B:B,'Military aid by type'!B18)/1000000000+SUMIFS('MAIN DATASET'!R:R,'MAIN DATASET'!E:E,"Weapons and training", 'MAIN DATASET'!B:B,'Military aid by type'!B18)/1000000000+SUMIFS('MAIN DATASET'!R:R,'MAIN DATASET'!E:E,"Weapons and Assistance", 'MAIN DATASET'!B:B,'Military aid by type'!B18)/1000000000+SUMIFS('MAIN DATASET'!R:R,'MAIN DATASET'!E:E,"Military Equipment", 'MAIN DATASET'!B:B,'Military aid by type'!B18)/1000000000</f>
        <v>0</v>
      </c>
      <c r="E18" s="94">
        <v>0</v>
      </c>
      <c r="F18" s="94">
        <f t="shared" si="0"/>
        <v>0</v>
      </c>
      <c r="G18" s="512">
        <f t="shared" si="1"/>
        <v>0</v>
      </c>
      <c r="H18" s="512"/>
      <c r="I18" s="512"/>
      <c r="J18" s="516"/>
      <c r="K18" s="512"/>
      <c r="L18" s="512"/>
      <c r="M18" s="512"/>
      <c r="N18" s="512"/>
      <c r="O18" s="512"/>
      <c r="Q18" s="517"/>
    </row>
    <row r="19" spans="1:17">
      <c r="A19" s="117">
        <v>1</v>
      </c>
      <c r="B19" s="94" t="s">
        <v>1036</v>
      </c>
      <c r="C19" s="513">
        <f>SUMIFS('MAIN DATASET'!R:R,'MAIN DATASET'!D:D,"Military",'MAIN DATASET'!B:B,'Military aid by type'!B19)/1000000000</f>
        <v>0.15</v>
      </c>
      <c r="D19" s="94">
        <f>SUMIFS('MAIN DATASET'!R:R,'MAIN DATASET'!E:E,"Weapons", 'MAIN DATASET'!B:B,'Military aid by type'!B19)/1000000000+SUMIFS('MAIN DATASET'!R:R,'MAIN DATASET'!E:E,"Weapons and equipment", 'MAIN DATASET'!B:B,'Military aid by type'!B19)/1000000000+SUMIFS('MAIN DATASET'!R:R,'MAIN DATASET'!E:E,"Weapons and training", 'MAIN DATASET'!B:B,'Military aid by type'!B19)/1000000000+SUMIFS('MAIN DATASET'!R:R,'MAIN DATASET'!E:E,"Weapons and Assistance", 'MAIN DATASET'!B:B,'Military aid by type'!B19)/1000000000+SUMIFS('MAIN DATASET'!R:R,'MAIN DATASET'!E:E,"Military Equipment", 'MAIN DATASET'!B:B,'Military aid by type'!B19)/1000000000</f>
        <v>0.15</v>
      </c>
      <c r="E19" s="94">
        <v>0</v>
      </c>
      <c r="F19" s="94">
        <f t="shared" si="0"/>
        <v>0.15</v>
      </c>
      <c r="G19" s="512">
        <f t="shared" si="1"/>
        <v>0</v>
      </c>
      <c r="H19" s="512"/>
      <c r="I19" s="512"/>
      <c r="J19" s="516"/>
      <c r="K19" s="512"/>
      <c r="L19" s="512"/>
      <c r="M19" s="512"/>
      <c r="N19" s="512"/>
      <c r="O19" s="512"/>
      <c r="Q19" s="517"/>
    </row>
    <row r="20" spans="1:17">
      <c r="A20" s="125">
        <v>0</v>
      </c>
      <c r="B20" s="126" t="s">
        <v>1080</v>
      </c>
      <c r="C20" s="513">
        <f>SUMIFS('MAIN DATASET'!R:R,'MAIN DATASET'!D:D,"Military",'MAIN DATASET'!B:B,'Military aid by type'!B20)/1000000000</f>
        <v>0</v>
      </c>
      <c r="D20" s="94">
        <f>SUMIFS('MAIN DATASET'!R:R,'MAIN DATASET'!E:E,"Weapons", 'MAIN DATASET'!B:B,'Military aid by type'!B20)/1000000000+SUMIFS('MAIN DATASET'!R:R,'MAIN DATASET'!E:E,"Weapons and equipment", 'MAIN DATASET'!B:B,'Military aid by type'!B20)/1000000000+SUMIFS('MAIN DATASET'!R:R,'MAIN DATASET'!E:E,"Weapons and training", 'MAIN DATASET'!B:B,'Military aid by type'!B20)/1000000000+SUMIFS('MAIN DATASET'!R:R,'MAIN DATASET'!E:E,"Weapons and Assistance", 'MAIN DATASET'!B:B,'Military aid by type'!B20)/1000000000+SUMIFS('MAIN DATASET'!R:R,'MAIN DATASET'!E:E,"Military Equipment", 'MAIN DATASET'!B:B,'Military aid by type'!B20)/1000000000</f>
        <v>0</v>
      </c>
      <c r="E20" s="94">
        <v>0</v>
      </c>
      <c r="F20" s="94">
        <f t="shared" si="0"/>
        <v>0</v>
      </c>
      <c r="G20" s="512">
        <f t="shared" si="1"/>
        <v>0</v>
      </c>
      <c r="H20" s="512"/>
      <c r="I20" s="512"/>
      <c r="J20" s="516"/>
      <c r="K20" s="512"/>
      <c r="L20" s="512"/>
      <c r="M20" s="512"/>
      <c r="N20" s="512"/>
      <c r="O20" s="512"/>
      <c r="Q20" s="517"/>
    </row>
    <row r="21" spans="1:17">
      <c r="A21" s="117">
        <v>1</v>
      </c>
      <c r="B21" s="94" t="s">
        <v>1119</v>
      </c>
      <c r="C21" s="513">
        <f>SUMIFS('MAIN DATASET'!R:R,'MAIN DATASET'!D:D,"Military",'MAIN DATASET'!B:B,'Military aid by type'!B21)/1000000000</f>
        <v>0.21879999999999999</v>
      </c>
      <c r="D21" s="94">
        <f>SUMIFS('MAIN DATASET'!R:R,'MAIN DATASET'!E:E,"Weapons", 'MAIN DATASET'!B:B,'Military aid by type'!B21)/1000000000+SUMIFS('MAIN DATASET'!R:R,'MAIN DATASET'!E:E,"Weapons and equipment", 'MAIN DATASET'!B:B,'Military aid by type'!B21)/1000000000+SUMIFS('MAIN DATASET'!R:R,'MAIN DATASET'!E:E,"Weapons and training", 'MAIN DATASET'!B:B,'Military aid by type'!B21)/1000000000+SUMIFS('MAIN DATASET'!R:R,'MAIN DATASET'!E:E,"Weapons and Assistance", 'MAIN DATASET'!B:B,'Military aid by type'!B21)/1000000000+SUMIFS('MAIN DATASET'!R:R,'MAIN DATASET'!E:E,"Military Equipment", 'MAIN DATASET'!B:B,'Military aid by type'!B21)/1000000000</f>
        <v>0.21879999999999999</v>
      </c>
      <c r="E21" s="94">
        <v>0</v>
      </c>
      <c r="F21" s="94">
        <f t="shared" si="0"/>
        <v>0.21879999999999999</v>
      </c>
      <c r="G21" s="512">
        <f t="shared" si="1"/>
        <v>0</v>
      </c>
      <c r="H21" s="512"/>
      <c r="I21" s="512"/>
      <c r="J21" s="516"/>
      <c r="K21" s="512"/>
      <c r="L21" s="512"/>
      <c r="M21" s="512"/>
      <c r="N21" s="512"/>
      <c r="O21" s="512"/>
      <c r="Q21" s="517"/>
    </row>
    <row r="22" spans="1:17">
      <c r="A22" s="117">
        <v>1</v>
      </c>
      <c r="B22" s="94" t="s">
        <v>1147</v>
      </c>
      <c r="C22" s="513">
        <f>SUMIFS('MAIN DATASET'!R:R,'MAIN DATASET'!D:D,"Military",'MAIN DATASET'!B:B,'Military aid by type'!B22)/1000000000</f>
        <v>5.45E-2</v>
      </c>
      <c r="D22" s="94">
        <f>SUMIFS('MAIN DATASET'!R:R,'MAIN DATASET'!E:E,"Weapons", 'MAIN DATASET'!B:B,'Military aid by type'!B22)/1000000000+SUMIFS('MAIN DATASET'!R:R,'MAIN DATASET'!E:E,"Weapons and equipment", 'MAIN DATASET'!B:B,'Military aid by type'!B22)/1000000000+SUMIFS('MAIN DATASET'!R:R,'MAIN DATASET'!E:E,"Weapons and training", 'MAIN DATASET'!B:B,'Military aid by type'!B22)/1000000000+SUMIFS('MAIN DATASET'!R:R,'MAIN DATASET'!E:E,"Weapons and Assistance", 'MAIN DATASET'!B:B,'Military aid by type'!B22)/1000000000+SUMIFS('MAIN DATASET'!R:R,'MAIN DATASET'!E:E,"Military Equipment", 'MAIN DATASET'!B:B,'Military aid by type'!B22)/1000000000</f>
        <v>5.45E-2</v>
      </c>
      <c r="E22" s="94">
        <v>0</v>
      </c>
      <c r="F22" s="94">
        <f t="shared" si="0"/>
        <v>5.45E-2</v>
      </c>
      <c r="G22" s="512">
        <f t="shared" si="1"/>
        <v>0</v>
      </c>
      <c r="H22" s="512"/>
      <c r="I22" s="512"/>
      <c r="J22" s="512"/>
      <c r="K22" s="512"/>
      <c r="L22" s="512"/>
      <c r="M22" s="512"/>
      <c r="N22" s="512"/>
      <c r="O22" s="512"/>
      <c r="Q22" s="517"/>
    </row>
    <row r="23" spans="1:17">
      <c r="A23" s="117">
        <v>1</v>
      </c>
      <c r="B23" s="94" t="s">
        <v>1187</v>
      </c>
      <c r="C23" s="513">
        <f>SUMIFS('MAIN DATASET'!R:R,'MAIN DATASET'!D:D,"Military",'MAIN DATASET'!B:B,'Military aid by type'!B23)/1000000000</f>
        <v>0.05</v>
      </c>
      <c r="D23" s="94">
        <f>SUMIFS('MAIN DATASET'!R:R,'MAIN DATASET'!E:E,"Weapons", 'MAIN DATASET'!B:B,'Military aid by type'!B23)/1000000000+SUMIFS('MAIN DATASET'!R:R,'MAIN DATASET'!E:E,"Weapons and equipment", 'MAIN DATASET'!B:B,'Military aid by type'!B23)/1000000000+SUMIFS('MAIN DATASET'!R:R,'MAIN DATASET'!E:E,"Weapons and training", 'MAIN DATASET'!B:B,'Military aid by type'!B23)/1000000000+SUMIFS('MAIN DATASET'!R:R,'MAIN DATASET'!E:E,"Weapons and Assistance", 'MAIN DATASET'!B:B,'Military aid by type'!B23)/1000000000+SUMIFS('MAIN DATASET'!R:R,'MAIN DATASET'!E:E,"Military Equipment", 'MAIN DATASET'!B:B,'Military aid by type'!B23)/1000000000</f>
        <v>0.05</v>
      </c>
      <c r="E23" s="94">
        <v>0</v>
      </c>
      <c r="F23" s="94">
        <f t="shared" si="0"/>
        <v>0.05</v>
      </c>
      <c r="G23" s="512">
        <f t="shared" si="1"/>
        <v>0</v>
      </c>
      <c r="H23" s="512"/>
      <c r="K23" s="512"/>
      <c r="L23" s="512"/>
      <c r="M23" s="512"/>
      <c r="N23" s="512"/>
      <c r="O23" s="512"/>
      <c r="Q23" s="517"/>
    </row>
    <row r="24" spans="1:17">
      <c r="A24" s="125">
        <v>1</v>
      </c>
      <c r="B24" s="126" t="s">
        <v>1207</v>
      </c>
      <c r="C24" s="513">
        <f>SUMIFS('MAIN DATASET'!R:R,'MAIN DATASET'!D:D,"Military",'MAIN DATASET'!B:B,'Military aid by type'!B24)/1000000000</f>
        <v>0</v>
      </c>
      <c r="D24" s="94">
        <f>SUMIFS('MAIN DATASET'!R:R,'MAIN DATASET'!E:E,"Weapons", 'MAIN DATASET'!B:B,'Military aid by type'!B24)/1000000000+SUMIFS('MAIN DATASET'!R:R,'MAIN DATASET'!E:E,"Weapons and equipment", 'MAIN DATASET'!B:B,'Military aid by type'!B24)/1000000000+SUMIFS('MAIN DATASET'!R:R,'MAIN DATASET'!E:E,"Weapons and training", 'MAIN DATASET'!B:B,'Military aid by type'!B24)/1000000000+SUMIFS('MAIN DATASET'!R:R,'MAIN DATASET'!E:E,"Weapons and Assistance", 'MAIN DATASET'!B:B,'Military aid by type'!B24)/1000000000+SUMIFS('MAIN DATASET'!R:R,'MAIN DATASET'!E:E,"Military Equipment", 'MAIN DATASET'!B:B,'Military aid by type'!B24)/1000000000</f>
        <v>0</v>
      </c>
      <c r="E24" s="94">
        <v>0</v>
      </c>
      <c r="F24" s="94">
        <f t="shared" si="0"/>
        <v>0</v>
      </c>
      <c r="G24" s="512">
        <f t="shared" si="1"/>
        <v>0</v>
      </c>
      <c r="K24" s="512"/>
      <c r="L24" s="512"/>
      <c r="M24" s="512"/>
      <c r="N24" s="512"/>
      <c r="O24" s="512"/>
      <c r="Q24" s="517"/>
    </row>
    <row r="25" spans="1:17">
      <c r="A25" s="117">
        <v>1</v>
      </c>
      <c r="B25" s="94" t="s">
        <v>1215</v>
      </c>
      <c r="C25" s="513">
        <f>SUMIFS('MAIN DATASET'!R:R,'MAIN DATASET'!D:D,"Military",'MAIN DATASET'!B:B,'Military aid by type'!B25)/1000000000</f>
        <v>8.4090909090909091E-2</v>
      </c>
      <c r="D25" s="94">
        <f>SUMIFS('MAIN DATASET'!R:R,'MAIN DATASET'!E:E,"Weapons", 'MAIN DATASET'!B:B,'Military aid by type'!B25)/1000000000+SUMIFS('MAIN DATASET'!R:R,'MAIN DATASET'!E:E,"Weapons and equipment", 'MAIN DATASET'!B:B,'Military aid by type'!B25)/1000000000+SUMIFS('MAIN DATASET'!R:R,'MAIN DATASET'!E:E,"Weapons and training", 'MAIN DATASET'!B:B,'Military aid by type'!B25)/1000000000+SUMIFS('MAIN DATASET'!R:R,'MAIN DATASET'!E:E,"Weapons and Assistance", 'MAIN DATASET'!B:B,'Military aid by type'!B25)/1000000000+SUMIFS('MAIN DATASET'!R:R,'MAIN DATASET'!E:E,"Military Equipment", 'MAIN DATASET'!B:B,'Military aid by type'!B25)/1000000000</f>
        <v>8.4090909090909091E-2</v>
      </c>
      <c r="E25" s="94">
        <v>0</v>
      </c>
      <c r="F25" s="94">
        <f t="shared" si="0"/>
        <v>8.4090909090909091E-2</v>
      </c>
      <c r="G25" s="512">
        <f t="shared" si="1"/>
        <v>0</v>
      </c>
      <c r="H25" s="512"/>
      <c r="I25" s="512"/>
      <c r="J25" s="512"/>
      <c r="K25" s="512"/>
      <c r="L25" s="512"/>
      <c r="M25" s="512"/>
      <c r="N25" s="512"/>
      <c r="O25" s="512"/>
      <c r="Q25" s="517"/>
    </row>
    <row r="26" spans="1:17">
      <c r="A26" s="117">
        <v>0</v>
      </c>
      <c r="B26" s="512" t="s">
        <v>1273</v>
      </c>
      <c r="C26" s="513">
        <f>SUMIFS('MAIN DATASET'!R:R,'MAIN DATASET'!D:D,"Military",'MAIN DATASET'!B:B,'Military aid by type'!B26)/1000000000</f>
        <v>1.3818429492297321E-2</v>
      </c>
      <c r="D26" s="94">
        <f>SUMIFS('MAIN DATASET'!R:R,'MAIN DATASET'!E:E,"Weapons", 'MAIN DATASET'!B:B,'Military aid by type'!B26)/1000000000+SUMIFS('MAIN DATASET'!R:R,'MAIN DATASET'!E:E,"Weapons and equipment", 'MAIN DATASET'!B:B,'Military aid by type'!B26)/1000000000+SUMIFS('MAIN DATASET'!R:R,'MAIN DATASET'!E:E,"Weapons and training", 'MAIN DATASET'!B:B,'Military aid by type'!B26)/1000000000+SUMIFS('MAIN DATASET'!R:R,'MAIN DATASET'!E:E,"Weapons and Assistance", 'MAIN DATASET'!B:B,'Military aid by type'!B26)/1000000000+SUMIFS('MAIN DATASET'!R:R,'MAIN DATASET'!E:E,"Military Equipment", 'MAIN DATASET'!B:B,'Military aid by type'!B26)/1000000000</f>
        <v>3.6100586281887508E-3</v>
      </c>
      <c r="E26" s="94">
        <v>0</v>
      </c>
      <c r="F26" s="94">
        <f t="shared" si="0"/>
        <v>3.6100586281887508E-3</v>
      </c>
      <c r="G26" s="512">
        <f t="shared" si="1"/>
        <v>1.0208370864108571E-2</v>
      </c>
      <c r="H26" s="512"/>
      <c r="I26" s="512"/>
      <c r="J26" s="512"/>
      <c r="K26" s="512"/>
      <c r="L26" s="512"/>
      <c r="M26" s="512"/>
      <c r="N26" s="512"/>
      <c r="O26" s="512"/>
      <c r="Q26" s="517"/>
    </row>
    <row r="27" spans="1:17">
      <c r="A27" s="117">
        <v>0</v>
      </c>
      <c r="B27" s="512" t="s">
        <v>1306</v>
      </c>
      <c r="C27" s="513">
        <f>SUMIFS('MAIN DATASET'!R:R,'MAIN DATASET'!D:D,"Military",'MAIN DATASET'!B:B,'Military aid by type'!B27)/1000000000</f>
        <v>0.49368447972463786</v>
      </c>
      <c r="D27" s="94">
        <f>SUMIFS('MAIN DATASET'!R:R,'MAIN DATASET'!E:E,"Weapons", 'MAIN DATASET'!B:B,'Military aid by type'!B27)/1000000000+SUMIFS('MAIN DATASET'!R:R,'MAIN DATASET'!E:E,"Weapons and equipment", 'MAIN DATASET'!B:B,'Military aid by type'!B27)/1000000000+SUMIFS('MAIN DATASET'!R:R,'MAIN DATASET'!E:E,"Weapons and training", 'MAIN DATASET'!B:B,'Military aid by type'!B27)/1000000000+SUMIFS('MAIN DATASET'!R:R,'MAIN DATASET'!E:E,"Weapons and Assistance", 'MAIN DATASET'!B:B,'Military aid by type'!B27)/1000000000+SUMIFS('MAIN DATASET'!R:R,'MAIN DATASET'!E:E,"Military Equipment", 'MAIN DATASET'!B:B,'Military aid by type'!B27)/1000000000</f>
        <v>0.45484990530303021</v>
      </c>
      <c r="E27" s="94">
        <v>0</v>
      </c>
      <c r="F27" s="94">
        <f t="shared" si="0"/>
        <v>0.45484990530303021</v>
      </c>
      <c r="G27" s="512">
        <f t="shared" si="1"/>
        <v>3.8834574421607648E-2</v>
      </c>
      <c r="H27" s="512"/>
      <c r="I27" s="512"/>
      <c r="J27" s="516"/>
      <c r="K27" s="512"/>
      <c r="L27" s="512"/>
      <c r="M27" s="512"/>
      <c r="N27" s="512"/>
      <c r="O27" s="512"/>
      <c r="Q27" s="517"/>
    </row>
    <row r="28" spans="1:17">
      <c r="A28" s="117">
        <v>1</v>
      </c>
      <c r="B28" s="94" t="s">
        <v>1364</v>
      </c>
      <c r="C28" s="513">
        <f>SUMIFS('MAIN DATASET'!R:R,'MAIN DATASET'!D:D,"Military",'MAIN DATASET'!B:B,'Military aid by type'!B28)/1000000000</f>
        <v>1.8</v>
      </c>
      <c r="D28" s="94">
        <f>SUMIFS('MAIN DATASET'!R:R,'MAIN DATASET'!E:E,"Weapons", 'MAIN DATASET'!B:B,'Military aid by type'!B28)/1000000000+SUMIFS('MAIN DATASET'!R:R,'MAIN DATASET'!E:E,"Weapons and equipment", 'MAIN DATASET'!B:B,'Military aid by type'!B28)/1000000000+SUMIFS('MAIN DATASET'!R:R,'MAIN DATASET'!E:E,"Weapons and training", 'MAIN DATASET'!B:B,'Military aid by type'!B28)/1000000000+SUMIFS('MAIN DATASET'!R:R,'MAIN DATASET'!E:E,"Weapons and Assistance", 'MAIN DATASET'!B:B,'Military aid by type'!B28)/1000000000+SUMIFS('MAIN DATASET'!R:R,'MAIN DATASET'!E:E,"Military Equipment", 'MAIN DATASET'!B:B,'Military aid by type'!B28)/1000000000</f>
        <v>1.8</v>
      </c>
      <c r="E28" s="94">
        <v>0</v>
      </c>
      <c r="F28" s="94">
        <f t="shared" si="0"/>
        <v>1.8</v>
      </c>
      <c r="G28" s="512">
        <f t="shared" si="1"/>
        <v>0</v>
      </c>
      <c r="H28" s="512"/>
      <c r="I28" s="512"/>
      <c r="J28" s="516"/>
      <c r="K28" s="512"/>
      <c r="L28" s="512"/>
      <c r="M28" s="512"/>
      <c r="N28" s="512"/>
      <c r="O28" s="512"/>
      <c r="Q28" s="517"/>
    </row>
    <row r="29" spans="1:17">
      <c r="A29" s="117">
        <v>1</v>
      </c>
      <c r="B29" s="94" t="s">
        <v>1408</v>
      </c>
      <c r="C29" s="513">
        <f>SUMIFS('MAIN DATASET'!R:R,'MAIN DATASET'!D:D,"Military",'MAIN DATASET'!B:B,'Military aid by type'!B29)/1000000000</f>
        <v>8.7285984848484849E-3</v>
      </c>
      <c r="D29" s="94">
        <f>SUMIFS('MAIN DATASET'!R:R,'MAIN DATASET'!E:E,"Weapons", 'MAIN DATASET'!B:B,'Military aid by type'!B29)/1000000000+SUMIFS('MAIN DATASET'!R:R,'MAIN DATASET'!E:E,"Weapons and equipment", 'MAIN DATASET'!B:B,'Military aid by type'!B29)/1000000000+SUMIFS('MAIN DATASET'!R:R,'MAIN DATASET'!E:E,"Weapons and training", 'MAIN DATASET'!B:B,'Military aid by type'!B29)/1000000000+SUMIFS('MAIN DATASET'!R:R,'MAIN DATASET'!E:E,"Weapons and Assistance", 'MAIN DATASET'!B:B,'Military aid by type'!B29)/1000000000+SUMIFS('MAIN DATASET'!R:R,'MAIN DATASET'!E:E,"Military Equipment", 'MAIN DATASET'!B:B,'Military aid by type'!B29)/1000000000</f>
        <v>8.7285984848484849E-3</v>
      </c>
      <c r="E29" s="94">
        <v>0</v>
      </c>
      <c r="F29" s="94">
        <f t="shared" si="0"/>
        <v>8.7285984848484849E-3</v>
      </c>
      <c r="G29" s="512">
        <f t="shared" si="1"/>
        <v>0</v>
      </c>
      <c r="H29" s="512"/>
      <c r="I29" s="512"/>
      <c r="J29" s="516"/>
      <c r="K29" s="512"/>
      <c r="L29" s="512"/>
      <c r="M29" s="512"/>
      <c r="N29" s="512"/>
      <c r="O29" s="512"/>
      <c r="Q29" s="517"/>
    </row>
    <row r="30" spans="1:17">
      <c r="A30" s="117">
        <v>0</v>
      </c>
      <c r="B30" s="512" t="s">
        <v>1449</v>
      </c>
      <c r="C30" s="513">
        <f>SUMIFS('MAIN DATASET'!R:R,'MAIN DATASET'!D:D,"Military",'MAIN DATASET'!B:B,'Military aid by type'!B30)/1000000000</f>
        <v>3.3901515151515149E-3</v>
      </c>
      <c r="D30" s="94">
        <f>SUMIFS('MAIN DATASET'!R:R,'MAIN DATASET'!E:E,"Weapons", 'MAIN DATASET'!B:B,'Military aid by type'!B30)/1000000000+SUMIFS('MAIN DATASET'!R:R,'MAIN DATASET'!E:E,"Weapons and equipment", 'MAIN DATASET'!B:B,'Military aid by type'!B30)/1000000000+SUMIFS('MAIN DATASET'!R:R,'MAIN DATASET'!E:E,"Weapons and training", 'MAIN DATASET'!B:B,'Military aid by type'!B30)/1000000000+SUMIFS('MAIN DATASET'!R:R,'MAIN DATASET'!E:E,"Weapons and Assistance", 'MAIN DATASET'!B:B,'Military aid by type'!B30)/1000000000+SUMIFS('MAIN DATASET'!R:R,'MAIN DATASET'!E:E,"Military Equipment", 'MAIN DATASET'!B:B,'Military aid by type'!B30)/1000000000</f>
        <v>3.3901515151515149E-3</v>
      </c>
      <c r="E30" s="94">
        <v>0</v>
      </c>
      <c r="F30" s="94">
        <f t="shared" si="0"/>
        <v>3.3901515151515149E-3</v>
      </c>
      <c r="G30" s="512">
        <f t="shared" si="1"/>
        <v>0</v>
      </c>
      <c r="H30" s="512"/>
      <c r="I30" s="512"/>
      <c r="J30" s="516"/>
      <c r="K30" s="512"/>
      <c r="L30" s="512"/>
      <c r="M30" s="512"/>
      <c r="N30" s="512"/>
      <c r="O30" s="512"/>
      <c r="Q30" s="517"/>
    </row>
    <row r="31" spans="1:17">
      <c r="A31" s="117">
        <v>1</v>
      </c>
      <c r="B31" s="94" t="s">
        <v>1478</v>
      </c>
      <c r="C31" s="513">
        <f>SUMIFS('MAIN DATASET'!R:R,'MAIN DATASET'!D:D,"Military",'MAIN DATASET'!B:B,'Military aid by type'!B31)/1000000000</f>
        <v>3.0000000000000001E-3</v>
      </c>
      <c r="D31" s="94">
        <f>SUMIFS('MAIN DATASET'!R:R,'MAIN DATASET'!E:E,"Weapons", 'MAIN DATASET'!B:B,'Military aid by type'!B31)/1000000000+SUMIFS('MAIN DATASET'!R:R,'MAIN DATASET'!E:E,"Weapons and equipment", 'MAIN DATASET'!B:B,'Military aid by type'!B31)/1000000000+SUMIFS('MAIN DATASET'!R:R,'MAIN DATASET'!E:E,"Weapons and training", 'MAIN DATASET'!B:B,'Military aid by type'!B31)/1000000000+SUMIFS('MAIN DATASET'!R:R,'MAIN DATASET'!E:E,"Weapons and Assistance", 'MAIN DATASET'!B:B,'Military aid by type'!B31)/1000000000+SUMIFS('MAIN DATASET'!R:R,'MAIN DATASET'!E:E,"Military Equipment", 'MAIN DATASET'!B:B,'Military aid by type'!B31)/1000000000</f>
        <v>3.0000000000000001E-3</v>
      </c>
      <c r="E31" s="94">
        <v>0</v>
      </c>
      <c r="F31" s="94">
        <f t="shared" si="0"/>
        <v>3.0000000000000001E-3</v>
      </c>
      <c r="G31" s="512">
        <f t="shared" si="1"/>
        <v>0</v>
      </c>
      <c r="H31" s="512"/>
      <c r="I31" s="512"/>
      <c r="J31" s="516"/>
      <c r="K31" s="512"/>
      <c r="L31" s="512"/>
      <c r="M31" s="512"/>
      <c r="N31" s="512"/>
      <c r="O31" s="512"/>
      <c r="Q31" s="517"/>
    </row>
    <row r="32" spans="1:17">
      <c r="A32" s="117">
        <v>1</v>
      </c>
      <c r="B32" s="94" t="s">
        <v>1507</v>
      </c>
      <c r="C32" s="513">
        <f>SUMIFS('MAIN DATASET'!R:R,'MAIN DATASET'!D:D,"Military",'MAIN DATASET'!B:B,'Military aid by type'!B32)/1000000000</f>
        <v>0.16365189393939394</v>
      </c>
      <c r="D32" s="94">
        <f>SUMIFS('MAIN DATASET'!R:R,'MAIN DATASET'!E:E,"Weapons", 'MAIN DATASET'!B:B,'Military aid by type'!B32)/1000000000+SUMIFS('MAIN DATASET'!R:R,'MAIN DATASET'!E:E,"Weapons and equipment", 'MAIN DATASET'!B:B,'Military aid by type'!B32)/1000000000+SUMIFS('MAIN DATASET'!R:R,'MAIN DATASET'!E:E,"Weapons and training", 'MAIN DATASET'!B:B,'Military aid by type'!B32)/1000000000+SUMIFS('MAIN DATASET'!R:R,'MAIN DATASET'!E:E,"Weapons and Assistance", 'MAIN DATASET'!B:B,'Military aid by type'!B32)/1000000000+SUMIFS('MAIN DATASET'!R:R,'MAIN DATASET'!E:E,"Military Equipment", 'MAIN DATASET'!B:B,'Military aid by type'!B32)/1000000000</f>
        <v>0.16365189393939392</v>
      </c>
      <c r="E32" s="94">
        <v>0</v>
      </c>
      <c r="F32" s="94">
        <f t="shared" si="0"/>
        <v>0.16365189393939392</v>
      </c>
      <c r="G32" s="512">
        <f t="shared" si="1"/>
        <v>0</v>
      </c>
      <c r="H32" s="512"/>
      <c r="I32" s="512"/>
      <c r="J32" s="516"/>
      <c r="K32" s="512"/>
      <c r="L32" s="512"/>
      <c r="M32" s="512"/>
      <c r="N32" s="512"/>
      <c r="O32" s="512"/>
      <c r="Q32" s="517"/>
    </row>
    <row r="33" spans="1:17">
      <c r="A33" s="117">
        <v>1</v>
      </c>
      <c r="B33" s="94" t="s">
        <v>1546</v>
      </c>
      <c r="C33" s="513">
        <f>SUMIFS('MAIN DATASET'!R:R,'MAIN DATASET'!D:D,"Military",'MAIN DATASET'!B:B,'Military aid by type'!B33)/1000000000</f>
        <v>6.628787878787879E-3</v>
      </c>
      <c r="D33" s="94">
        <f>SUMIFS('MAIN DATASET'!R:R,'MAIN DATASET'!E:E,"Weapons", 'MAIN DATASET'!B:B,'Military aid by type'!B33)/1000000000+SUMIFS('MAIN DATASET'!R:R,'MAIN DATASET'!E:E,"Weapons and equipment", 'MAIN DATASET'!B:B,'Military aid by type'!B33)/1000000000+SUMIFS('MAIN DATASET'!R:R,'MAIN DATASET'!E:E,"Weapons and training", 'MAIN DATASET'!B:B,'Military aid by type'!B33)/1000000000+SUMIFS('MAIN DATASET'!R:R,'MAIN DATASET'!E:E,"Weapons and Assistance", 'MAIN DATASET'!B:B,'Military aid by type'!B33)/1000000000+SUMIFS('MAIN DATASET'!R:R,'MAIN DATASET'!E:E,"Military Equipment", 'MAIN DATASET'!B:B,'Military aid by type'!B33)/1000000000</f>
        <v>6.628787878787879E-3</v>
      </c>
      <c r="E33" s="94">
        <v>0</v>
      </c>
      <c r="F33" s="94">
        <f t="shared" si="0"/>
        <v>6.628787878787879E-3</v>
      </c>
      <c r="G33" s="512">
        <f t="shared" si="1"/>
        <v>0</v>
      </c>
      <c r="H33" s="512"/>
      <c r="I33" s="512"/>
      <c r="J33" s="516"/>
      <c r="K33" s="512"/>
      <c r="L33" s="512"/>
      <c r="M33" s="512"/>
      <c r="N33" s="512"/>
      <c r="O33" s="512"/>
      <c r="Q33" s="517"/>
    </row>
    <row r="34" spans="1:17">
      <c r="A34" s="117">
        <v>1</v>
      </c>
      <c r="B34" s="94" t="s">
        <v>1587</v>
      </c>
      <c r="C34" s="513">
        <f>SUMIFS('MAIN DATASET'!R:R,'MAIN DATASET'!D:D,"Military",'MAIN DATASET'!B:B,'Military aid by type'!B34)/1000000000</f>
        <v>3.7245335227272719E-2</v>
      </c>
      <c r="D34" s="94">
        <f>SUMIFS('MAIN DATASET'!R:R,'MAIN DATASET'!E:E,"Weapons", 'MAIN DATASET'!B:B,'Military aid by type'!B34)/1000000000+SUMIFS('MAIN DATASET'!R:R,'MAIN DATASET'!E:E,"Weapons and equipment", 'MAIN DATASET'!B:B,'Military aid by type'!B34)/1000000000+SUMIFS('MAIN DATASET'!R:R,'MAIN DATASET'!E:E,"Weapons and training", 'MAIN DATASET'!B:B,'Military aid by type'!B34)/1000000000+SUMIFS('MAIN DATASET'!R:R,'MAIN DATASET'!E:E,"Weapons and Assistance", 'MAIN DATASET'!B:B,'Military aid by type'!B34)/1000000000+SUMIFS('MAIN DATASET'!R:R,'MAIN DATASET'!E:E,"Military Equipment", 'MAIN DATASET'!B:B,'Military aid by type'!B34)/1000000000</f>
        <v>3.7245335227272726E-2</v>
      </c>
      <c r="E34" s="94">
        <v>0</v>
      </c>
      <c r="F34" s="94">
        <f t="shared" si="0"/>
        <v>3.7245335227272726E-2</v>
      </c>
      <c r="G34" s="512">
        <f t="shared" si="1"/>
        <v>0</v>
      </c>
      <c r="H34" s="512"/>
      <c r="I34" s="512"/>
      <c r="J34" s="516"/>
      <c r="K34" s="512"/>
      <c r="L34" s="512"/>
      <c r="M34" s="512"/>
      <c r="N34" s="512"/>
      <c r="O34" s="512"/>
      <c r="Q34" s="517"/>
    </row>
    <row r="35" spans="1:17">
      <c r="A35" s="117">
        <v>1</v>
      </c>
      <c r="B35" s="94" t="s">
        <v>1645</v>
      </c>
      <c r="C35" s="513">
        <f>SUMIFS('MAIN DATASET'!R:R,'MAIN DATASET'!D:D,"Military",'MAIN DATASET'!B:B,'Military aid by type'!B35)/1000000000</f>
        <v>0.18246414973151129</v>
      </c>
      <c r="D35" s="94">
        <f>SUMIFS('MAIN DATASET'!R:R,'MAIN DATASET'!E:E,"Weapons", 'MAIN DATASET'!B:B,'Military aid by type'!B35)/1000000000+SUMIFS('MAIN DATASET'!R:R,'MAIN DATASET'!E:E,"Weapons and equipment", 'MAIN DATASET'!B:B,'Military aid by type'!B35)/1000000000+SUMIFS('MAIN DATASET'!R:R,'MAIN DATASET'!E:E,"Weapons and training", 'MAIN DATASET'!B:B,'Military aid by type'!B35)/1000000000+SUMIFS('MAIN DATASET'!R:R,'MAIN DATASET'!E:E,"Weapons and Assistance", 'MAIN DATASET'!B:B,'Military aid by type'!B35)/1000000000+SUMIFS('MAIN DATASET'!R:R,'MAIN DATASET'!E:E,"Military Equipment", 'MAIN DATASET'!B:B,'Military aid by type'!B35)/1000000000</f>
        <v>7.5188645876003296E-2</v>
      </c>
      <c r="E35" s="94">
        <v>0</v>
      </c>
      <c r="F35" s="94">
        <f t="shared" si="0"/>
        <v>7.5188645876003296E-2</v>
      </c>
      <c r="G35" s="512">
        <f t="shared" si="1"/>
        <v>0.10727550385550799</v>
      </c>
      <c r="H35" s="512"/>
      <c r="I35" s="512"/>
      <c r="J35" s="516"/>
      <c r="K35" s="512"/>
      <c r="L35" s="512"/>
      <c r="M35" s="512"/>
      <c r="N35" s="512"/>
      <c r="O35" s="512"/>
      <c r="Q35" s="517"/>
    </row>
    <row r="36" spans="1:17">
      <c r="A36" s="117">
        <v>0</v>
      </c>
      <c r="B36" s="512" t="s">
        <v>1694</v>
      </c>
      <c r="C36" s="513">
        <f>SUMIFS('MAIN DATASET'!R:R,'MAIN DATASET'!D:D,"Military",'MAIN DATASET'!B:B,'Military aid by type'!B36)/1000000000</f>
        <v>0</v>
      </c>
      <c r="D36" s="94">
        <f>SUMIFS('MAIN DATASET'!R:R,'MAIN DATASET'!E:E,"Weapons", 'MAIN DATASET'!B:B,'Military aid by type'!B36)/1000000000+SUMIFS('MAIN DATASET'!R:R,'MAIN DATASET'!E:E,"Weapons and equipment", 'MAIN DATASET'!B:B,'Military aid by type'!B36)/1000000000+SUMIFS('MAIN DATASET'!R:R,'MAIN DATASET'!E:E,"Weapons and training", 'MAIN DATASET'!B:B,'Military aid by type'!B36)/1000000000+SUMIFS('MAIN DATASET'!R:R,'MAIN DATASET'!E:E,"Weapons and Assistance", 'MAIN DATASET'!B:B,'Military aid by type'!B36)/1000000000+SUMIFS('MAIN DATASET'!R:R,'MAIN DATASET'!E:E,"Military Equipment", 'MAIN DATASET'!B:B,'Military aid by type'!B36)/1000000000</f>
        <v>0</v>
      </c>
      <c r="E36" s="94">
        <v>0</v>
      </c>
      <c r="F36" s="94">
        <f t="shared" si="0"/>
        <v>0</v>
      </c>
      <c r="G36" s="512">
        <f t="shared" si="1"/>
        <v>0</v>
      </c>
      <c r="H36" s="512"/>
      <c r="I36" s="512"/>
      <c r="J36" s="516"/>
      <c r="K36" s="512"/>
      <c r="L36" s="512"/>
      <c r="M36" s="512"/>
      <c r="N36" s="512"/>
      <c r="O36" s="512"/>
      <c r="Q36" s="517"/>
    </row>
    <row r="37" spans="1:17">
      <c r="A37" s="117">
        <v>0</v>
      </c>
      <c r="B37" s="512" t="s">
        <v>1702</v>
      </c>
      <c r="C37" s="513">
        <f>SUMIFS('MAIN DATASET'!R:R,'MAIN DATASET'!D:D,"Military",'MAIN DATASET'!B:B,'Military aid by type'!B37)/1000000000</f>
        <v>0</v>
      </c>
      <c r="D37" s="94">
        <f>SUMIFS('MAIN DATASET'!R:R,'MAIN DATASET'!E:E,"Weapons", 'MAIN DATASET'!B:B,'Military aid by type'!B37)/1000000000+SUMIFS('MAIN DATASET'!R:R,'MAIN DATASET'!E:E,"Weapons and equipment", 'MAIN DATASET'!B:B,'Military aid by type'!B37)/1000000000+SUMIFS('MAIN DATASET'!R:R,'MAIN DATASET'!E:E,"Weapons and training", 'MAIN DATASET'!B:B,'Military aid by type'!B37)/1000000000+SUMIFS('MAIN DATASET'!R:R,'MAIN DATASET'!E:E,"Weapons and Assistance", 'MAIN DATASET'!B:B,'Military aid by type'!B37)/1000000000+SUMIFS('MAIN DATASET'!R:R,'MAIN DATASET'!E:E,"Military Equipment", 'MAIN DATASET'!B:B,'Military aid by type'!B37)/1000000000</f>
        <v>0</v>
      </c>
      <c r="E37" s="94">
        <v>0</v>
      </c>
      <c r="F37" s="94">
        <f t="shared" si="0"/>
        <v>0</v>
      </c>
      <c r="G37" s="512">
        <f t="shared" si="1"/>
        <v>0</v>
      </c>
      <c r="H37" s="512"/>
      <c r="I37" s="512"/>
      <c r="J37" s="516"/>
      <c r="K37" s="512"/>
      <c r="L37" s="512"/>
      <c r="M37" s="512"/>
      <c r="N37" s="512"/>
      <c r="O37" s="512"/>
      <c r="Q37" s="517"/>
    </row>
    <row r="38" spans="1:17">
      <c r="A38" s="117">
        <v>0</v>
      </c>
      <c r="B38" s="94" t="s">
        <v>1741</v>
      </c>
      <c r="C38" s="513">
        <f>SUMIFS('MAIN DATASET'!R:R,'MAIN DATASET'!D:D,"Military",'MAIN DATASET'!B:B,'Military aid by type'!B38)/1000000000</f>
        <v>3.7678026456566056</v>
      </c>
      <c r="D38" s="94">
        <f>(SUMIFS('MAIN DATASET'!R:R,'MAIN DATASET'!E:E,"Weapons", 'MAIN DATASET'!B:B,'Military aid by type'!B38)/1000000000+SUMIFS('MAIN DATASET'!R:R,'MAIN DATASET'!E:E,"Weapons and equipment", 'MAIN DATASET'!B:B,'Military aid by type'!B38)/1000000000+SUMIFS('MAIN DATASET'!R:R,'MAIN DATASET'!E:E,"Weapons and training", 'MAIN DATASET'!B:B,'Military aid by type'!B38)/1000000000+SUMIFS('MAIN DATASET'!R:R,'MAIN DATASET'!E:E,"Weapons and Assistance", 'MAIN DATASET'!B:B,'Military aid by type'!B38)/1000000000+SUMIFS('MAIN DATASET'!R:R,'MAIN DATASET'!E:E,"Military Equipment", 'MAIN DATASET'!B:B,'Military aid by type'!B38)/1000000000)</f>
        <v>3.7678026456566061</v>
      </c>
      <c r="E38" s="517">
        <f>-1.262621012-1.4</f>
        <v>-2.6626210119999998</v>
      </c>
      <c r="F38" s="94">
        <f t="shared" si="0"/>
        <v>1.1051816336566063</v>
      </c>
      <c r="G38" s="512">
        <f t="shared" si="1"/>
        <v>2.6626210119999993</v>
      </c>
      <c r="H38" s="512" t="s">
        <v>2825</v>
      </c>
      <c r="I38" s="512"/>
      <c r="J38" s="516"/>
      <c r="K38" s="512"/>
      <c r="L38" s="512"/>
      <c r="M38" s="512"/>
      <c r="N38" s="512"/>
      <c r="O38" s="512"/>
      <c r="Q38" s="517"/>
    </row>
    <row r="39" spans="1:17" s="126" customFormat="1">
      <c r="A39" s="125">
        <v>0</v>
      </c>
      <c r="B39" s="126" t="s">
        <v>1837</v>
      </c>
      <c r="C39" s="518">
        <f>SUMIFS('MAIN DATASET'!R:R,'MAIN DATASET'!D:D,"Military",'MAIN DATASET'!B:B,'Military aid by type'!B39)/1000000000</f>
        <v>23.782060057969691</v>
      </c>
      <c r="D39" s="126">
        <f>(SUMIFS('MAIN DATASET'!R:R,'MAIN DATASET'!E:E,"Weapons", 'MAIN DATASET'!B:B,'Military aid by type'!B39)/1000000000+SUMIFS('MAIN DATASET'!R:R,'MAIN DATASET'!E:E,"Weapons and equipment", 'MAIN DATASET'!B:B,'Military aid by type'!B39)/1000000000+SUMIFS('MAIN DATASET'!R:R,'MAIN DATASET'!E:E,"Weapons and training", 'MAIN DATASET'!B:B,'Military aid by type'!B39)/1000000000+SUMIFS('MAIN DATASET'!R:R,'MAIN DATASET'!E:E,"Weapons and Assistance", 'MAIN DATASET'!B:B,'Military aid by type'!B39)/1000000000+SUMIFS('MAIN DATASET'!R:R,'MAIN DATASET'!E:E,"Military Equipment", 'MAIN DATASET'!B:B,'Military aid by type'!B39)/1000000000)</f>
        <v>23.071832785242421</v>
      </c>
      <c r="E39" s="741">
        <f xml:space="preserve"> - (9.1602457+4.1487674+3.391939693)</f>
        <v>-16.700952793000003</v>
      </c>
      <c r="F39" s="126">
        <f t="shared" si="0"/>
        <v>6.3708799922424184</v>
      </c>
      <c r="G39" s="520">
        <f t="shared" si="1"/>
        <v>17.411180065727272</v>
      </c>
      <c r="H39" s="520" t="s">
        <v>2826</v>
      </c>
      <c r="I39" s="520"/>
      <c r="J39" s="521"/>
      <c r="K39" s="520"/>
      <c r="L39" s="520"/>
      <c r="M39" s="520"/>
      <c r="N39" s="520"/>
      <c r="O39" s="520"/>
      <c r="Q39" s="522"/>
    </row>
    <row r="40" spans="1:17">
      <c r="A40" s="117">
        <v>0</v>
      </c>
      <c r="B40" s="94" t="s">
        <v>456</v>
      </c>
      <c r="C40" s="518">
        <f>SUMIFS('MAIN DATASET'!R:R,'MAIN DATASET'!D:D,"Military",'MAIN DATASET'!B:B,'Military aid by type'!B40)/1000000000</f>
        <v>0</v>
      </c>
      <c r="D40" s="126">
        <f>(SUMIFS('MAIN DATASET'!R:R,'MAIN DATASET'!E:E,"Weapons", 'MAIN DATASET'!B:B,'Military aid by type'!B40)/1000000000+SUMIFS('MAIN DATASET'!R:R,'MAIN DATASET'!E:E,"Weapons and equipment", 'MAIN DATASET'!B:B,'Military aid by type'!B40)/1000000000+SUMIFS('MAIN DATASET'!R:R,'MAIN DATASET'!E:E,"Weapons and training", 'MAIN DATASET'!B:B,'Military aid by type'!B40)/1000000000+SUMIFS('MAIN DATASET'!R:R,'MAIN DATASET'!E:E,"Weapons and Assistance", 'MAIN DATASET'!B:B,'Military aid by type'!B40)/1000000000+SUMIFS('MAIN DATASET'!R:R,'MAIN DATASET'!E:E,"Military Equipment", 'MAIN DATASET'!B:B,'Military aid by type'!B40)/1000000000)</f>
        <v>0</v>
      </c>
      <c r="E40" s="94">
        <v>0</v>
      </c>
      <c r="F40" s="126">
        <f t="shared" si="0"/>
        <v>0</v>
      </c>
      <c r="G40" s="520">
        <f t="shared" si="1"/>
        <v>0</v>
      </c>
      <c r="H40" s="512"/>
      <c r="I40" s="512"/>
      <c r="J40" s="516"/>
      <c r="K40" s="512"/>
      <c r="L40" s="512"/>
      <c r="M40" s="512"/>
      <c r="N40" s="512"/>
      <c r="O40" s="512"/>
      <c r="Q40" s="517"/>
    </row>
    <row r="41" spans="1:17">
      <c r="A41" s="117">
        <v>0</v>
      </c>
      <c r="B41" s="94" t="s">
        <v>1721</v>
      </c>
      <c r="C41" s="518">
        <f>SUMIFS('MAIN DATASET'!R:R,'MAIN DATASET'!D:D,"Military",'MAIN DATASET'!B:B,'Military aid by type'!B41)/1000000000</f>
        <v>0</v>
      </c>
      <c r="D41" s="126">
        <f>(SUMIFS('MAIN DATASET'!R:R,'MAIN DATASET'!E:E,"Weapons", 'MAIN DATASET'!B:B,'Military aid by type'!B41)/1000000000+SUMIFS('MAIN DATASET'!R:R,'MAIN DATASET'!E:E,"Weapons and equipment", 'MAIN DATASET'!B:B,'Military aid by type'!B41)/1000000000+SUMIFS('MAIN DATASET'!R:R,'MAIN DATASET'!E:E,"Weapons and training", 'MAIN DATASET'!B:B,'Military aid by type'!B41)/1000000000+SUMIFS('MAIN DATASET'!R:R,'MAIN DATASET'!E:E,"Weapons and Assistance", 'MAIN DATASET'!B:B,'Military aid by type'!B41)/1000000000+SUMIFS('MAIN DATASET'!R:R,'MAIN DATASET'!E:E,"Military Equipment", 'MAIN DATASET'!B:B,'Military aid by type'!B41)/1000000000)</f>
        <v>0</v>
      </c>
      <c r="E41" s="94">
        <v>0</v>
      </c>
      <c r="F41" s="126">
        <f t="shared" si="0"/>
        <v>0</v>
      </c>
      <c r="G41" s="520">
        <f t="shared" si="1"/>
        <v>0</v>
      </c>
      <c r="H41" s="512"/>
      <c r="I41" s="512"/>
      <c r="J41" s="516"/>
      <c r="K41" s="512"/>
      <c r="L41" s="512"/>
      <c r="M41" s="512"/>
      <c r="N41" s="512"/>
      <c r="O41" s="512"/>
      <c r="Q41" s="517"/>
    </row>
    <row r="42" spans="1:17">
      <c r="A42" s="117">
        <v>0</v>
      </c>
      <c r="B42" s="94" t="s">
        <v>998</v>
      </c>
      <c r="C42" s="518">
        <f>SUMIFS('MAIN DATASET'!R:R,'MAIN DATASET'!D:D,"Military",'MAIN DATASET'!B:B,'Military aid by type'!B42)/1000000000</f>
        <v>0</v>
      </c>
      <c r="D42" s="126">
        <f>(SUMIFS('MAIN DATASET'!R:R,'MAIN DATASET'!E:E,"Weapons", 'MAIN DATASET'!B:B,'Military aid by type'!B42)/1000000000+SUMIFS('MAIN DATASET'!R:R,'MAIN DATASET'!E:E,"Weapons and equipment", 'MAIN DATASET'!B:B,'Military aid by type'!B42)/1000000000+SUMIFS('MAIN DATASET'!R:R,'MAIN DATASET'!E:E,"Weapons and training", 'MAIN DATASET'!B:B,'Military aid by type'!B42)/1000000000+SUMIFS('MAIN DATASET'!R:R,'MAIN DATASET'!E:E,"Weapons and Assistance", 'MAIN DATASET'!B:B,'Military aid by type'!B42)/1000000000+SUMIFS('MAIN DATASET'!R:R,'MAIN DATASET'!E:E,"Military Equipment", 'MAIN DATASET'!B:B,'Military aid by type'!B42)/1000000000)</f>
        <v>0</v>
      </c>
      <c r="E42" s="94">
        <v>0</v>
      </c>
      <c r="F42" s="126">
        <f t="shared" si="0"/>
        <v>0</v>
      </c>
      <c r="G42" s="520">
        <f t="shared" si="1"/>
        <v>0</v>
      </c>
      <c r="H42" s="512"/>
      <c r="I42" s="512"/>
      <c r="J42" s="516"/>
      <c r="K42" s="512"/>
      <c r="L42" s="512"/>
      <c r="M42" s="512"/>
      <c r="N42" s="512"/>
      <c r="O42" s="512"/>
      <c r="Q42" s="517"/>
    </row>
    <row r="43" spans="1:17">
      <c r="G43" s="512"/>
      <c r="H43" s="512"/>
      <c r="I43" s="512"/>
      <c r="J43" s="516"/>
      <c r="K43" s="512"/>
      <c r="L43" s="512"/>
      <c r="M43" s="512"/>
      <c r="N43" s="512"/>
      <c r="O43" s="512"/>
      <c r="Q43" s="517"/>
    </row>
    <row r="44" spans="1:17">
      <c r="B44" s="512"/>
      <c r="E44" s="740"/>
      <c r="K44" s="512"/>
      <c r="L44" s="512"/>
      <c r="M44" s="512"/>
      <c r="N44" s="512"/>
      <c r="O44" s="512"/>
      <c r="Q44" s="517"/>
    </row>
    <row r="45" spans="1:17">
      <c r="G45" s="512"/>
      <c r="H45" s="512"/>
      <c r="I45" s="512"/>
      <c r="J45" s="516"/>
      <c r="K45" s="512"/>
      <c r="L45" s="512"/>
      <c r="M45" s="512"/>
      <c r="N45" s="512"/>
      <c r="O45" s="512"/>
      <c r="Q45" s="517"/>
    </row>
    <row r="46" spans="1:17">
      <c r="G46" s="512"/>
      <c r="H46" s="512"/>
      <c r="I46" s="512"/>
      <c r="J46" s="516"/>
      <c r="K46" s="512"/>
      <c r="L46" s="512"/>
      <c r="M46" s="512"/>
      <c r="N46" s="512"/>
      <c r="O46" s="512"/>
      <c r="Q46" s="517"/>
    </row>
    <row r="47" spans="1:17">
      <c r="G47" s="512"/>
      <c r="H47" s="512"/>
      <c r="I47" s="512"/>
      <c r="J47" s="516"/>
      <c r="K47" s="512"/>
      <c r="L47" s="512"/>
      <c r="M47" s="512"/>
      <c r="N47" s="512"/>
      <c r="O47" s="512"/>
      <c r="Q47" s="517"/>
    </row>
    <row r="48" spans="1:17">
      <c r="G48" s="512"/>
      <c r="H48" s="512"/>
      <c r="I48" s="512"/>
      <c r="J48" s="516"/>
      <c r="K48" s="512"/>
      <c r="L48" s="512"/>
      <c r="M48" s="512"/>
      <c r="N48" s="512"/>
      <c r="O48" s="512"/>
      <c r="Q48" s="517"/>
    </row>
    <row r="49" spans="2:17">
      <c r="G49" s="512"/>
      <c r="H49" s="512"/>
      <c r="I49" s="512"/>
      <c r="J49" s="516"/>
      <c r="K49" s="512"/>
      <c r="L49" s="512"/>
      <c r="M49" s="512"/>
      <c r="N49" s="512"/>
      <c r="O49" s="512"/>
      <c r="Q49" s="517"/>
    </row>
    <row r="50" spans="2:17">
      <c r="B50" s="132"/>
      <c r="G50" s="512"/>
      <c r="H50" s="512"/>
      <c r="I50" s="512"/>
      <c r="J50" s="516"/>
      <c r="K50" s="512"/>
      <c r="L50" s="512"/>
      <c r="M50" s="512"/>
      <c r="N50" s="512"/>
      <c r="O50" s="512"/>
      <c r="Q50" s="517"/>
    </row>
    <row r="51" spans="2:17">
      <c r="G51" s="512"/>
      <c r="H51" s="512"/>
      <c r="I51" s="512"/>
      <c r="J51" s="516"/>
      <c r="K51" s="512"/>
      <c r="L51" s="512"/>
      <c r="M51" s="512"/>
      <c r="N51" s="512"/>
      <c r="O51" s="512"/>
      <c r="Q51" s="517"/>
    </row>
    <row r="52" spans="2:17">
      <c r="B52" s="109"/>
      <c r="G52" s="512"/>
      <c r="H52" s="512"/>
      <c r="I52" s="512"/>
      <c r="J52" s="516"/>
      <c r="K52" s="512"/>
      <c r="L52" s="512"/>
      <c r="M52" s="512"/>
      <c r="N52" s="512"/>
      <c r="O52" s="512"/>
      <c r="Q52" s="517"/>
    </row>
    <row r="53" spans="2:17">
      <c r="G53" s="512"/>
      <c r="H53" s="512"/>
      <c r="I53" s="512"/>
      <c r="J53" s="516"/>
      <c r="K53" s="512"/>
      <c r="L53" s="512"/>
      <c r="M53" s="512"/>
      <c r="N53" s="512"/>
      <c r="O53" s="512"/>
      <c r="Q53" s="517"/>
    </row>
    <row r="54" spans="2:17">
      <c r="G54" s="512"/>
      <c r="H54" s="512"/>
      <c r="I54" s="512"/>
      <c r="J54" s="516"/>
      <c r="K54" s="512"/>
      <c r="L54" s="512"/>
      <c r="M54" s="512"/>
      <c r="N54" s="512"/>
      <c r="O54" s="512"/>
      <c r="Q54" s="517"/>
    </row>
    <row r="55" spans="2:17">
      <c r="G55" s="512"/>
      <c r="H55" s="512"/>
      <c r="I55" s="512"/>
      <c r="J55" s="516"/>
      <c r="K55" s="512"/>
      <c r="L55" s="512"/>
      <c r="M55" s="512"/>
      <c r="N55" s="512"/>
      <c r="O55" s="512"/>
      <c r="Q55" s="517"/>
    </row>
    <row r="56" spans="2:17">
      <c r="G56" s="512"/>
      <c r="H56" s="512"/>
      <c r="I56" s="512"/>
      <c r="J56" s="516"/>
      <c r="K56" s="512"/>
      <c r="L56" s="512"/>
      <c r="M56" s="512"/>
      <c r="N56" s="512"/>
      <c r="O56" s="512"/>
      <c r="Q56" s="517"/>
    </row>
    <row r="57" spans="2:17">
      <c r="G57" s="512"/>
      <c r="H57" s="512"/>
      <c r="I57" s="512"/>
      <c r="J57" s="516"/>
      <c r="K57" s="512"/>
      <c r="L57" s="512"/>
      <c r="M57" s="512"/>
      <c r="N57" s="512"/>
      <c r="O57" s="512"/>
      <c r="Q57" s="517"/>
    </row>
    <row r="58" spans="2:17">
      <c r="G58" s="512"/>
      <c r="H58" s="512"/>
      <c r="I58" s="512"/>
      <c r="J58" s="516"/>
      <c r="K58" s="512"/>
      <c r="L58" s="512"/>
      <c r="M58" s="512"/>
      <c r="N58" s="512"/>
      <c r="O58" s="512"/>
      <c r="Q58" s="517"/>
    </row>
    <row r="59" spans="2:17">
      <c r="G59" s="512"/>
      <c r="H59" s="512"/>
      <c r="I59" s="512"/>
      <c r="J59" s="516"/>
      <c r="K59" s="512"/>
      <c r="L59" s="512"/>
      <c r="M59" s="512"/>
      <c r="N59" s="512"/>
      <c r="O59" s="512"/>
      <c r="Q59" s="517"/>
    </row>
    <row r="60" spans="2:17">
      <c r="G60" s="512"/>
      <c r="H60" s="512"/>
      <c r="I60" s="512"/>
      <c r="J60" s="516"/>
      <c r="K60" s="512"/>
      <c r="L60" s="512"/>
      <c r="M60" s="512"/>
      <c r="N60" s="512"/>
      <c r="O60" s="512"/>
      <c r="Q60" s="517"/>
    </row>
    <row r="61" spans="2:17">
      <c r="G61" s="512"/>
      <c r="H61" s="512"/>
      <c r="I61" s="512"/>
      <c r="J61" s="516"/>
      <c r="K61" s="512"/>
      <c r="L61" s="512"/>
      <c r="M61" s="512"/>
      <c r="N61" s="512"/>
      <c r="O61" s="512"/>
      <c r="Q61" s="517"/>
    </row>
    <row r="62" spans="2:17">
      <c r="G62" s="512"/>
      <c r="H62" s="512"/>
      <c r="I62" s="512"/>
      <c r="J62" s="516"/>
      <c r="K62" s="512"/>
      <c r="L62" s="512"/>
      <c r="M62" s="512"/>
      <c r="N62" s="512"/>
      <c r="O62" s="512"/>
      <c r="Q62" s="517"/>
    </row>
    <row r="63" spans="2:17">
      <c r="G63" s="512"/>
      <c r="H63" s="512"/>
      <c r="I63" s="512"/>
      <c r="J63" s="516"/>
      <c r="K63" s="512"/>
      <c r="L63" s="512"/>
      <c r="M63" s="512"/>
      <c r="N63" s="512"/>
      <c r="O63" s="512"/>
      <c r="Q63" s="517"/>
    </row>
    <row r="64" spans="2:17">
      <c r="G64" s="512"/>
      <c r="H64" s="512"/>
      <c r="I64" s="512"/>
      <c r="J64" s="516"/>
      <c r="K64" s="512"/>
      <c r="L64" s="512"/>
      <c r="M64" s="512"/>
      <c r="N64" s="512"/>
      <c r="O64" s="512"/>
      <c r="Q64" s="517"/>
    </row>
    <row r="65" spans="7:17">
      <c r="G65" s="512"/>
      <c r="H65" s="512"/>
      <c r="I65" s="512"/>
      <c r="J65" s="516"/>
      <c r="K65" s="512"/>
      <c r="L65" s="512"/>
      <c r="M65" s="512"/>
      <c r="N65" s="512"/>
      <c r="O65" s="512"/>
      <c r="Q65" s="517"/>
    </row>
    <row r="66" spans="7:17">
      <c r="G66" s="512"/>
      <c r="H66" s="512"/>
      <c r="I66" s="512"/>
      <c r="J66" s="516"/>
      <c r="K66" s="512"/>
      <c r="L66" s="512"/>
      <c r="M66" s="512"/>
      <c r="N66" s="512"/>
      <c r="O66" s="512"/>
      <c r="Q66" s="517"/>
    </row>
    <row r="67" spans="7:17">
      <c r="G67" s="512"/>
      <c r="H67" s="512"/>
      <c r="I67" s="512"/>
      <c r="J67" s="516"/>
      <c r="K67" s="512"/>
      <c r="L67" s="512"/>
      <c r="M67" s="512"/>
      <c r="N67" s="512"/>
      <c r="O67" s="512"/>
      <c r="Q67" s="517"/>
    </row>
    <row r="68" spans="7:17">
      <c r="G68" s="512"/>
      <c r="H68" s="512"/>
      <c r="I68" s="512"/>
      <c r="J68" s="516"/>
      <c r="K68" s="512"/>
      <c r="L68" s="512"/>
      <c r="M68" s="512"/>
      <c r="N68" s="512"/>
      <c r="O68" s="512"/>
      <c r="Q68" s="517"/>
    </row>
    <row r="69" spans="7:17">
      <c r="G69" s="512"/>
      <c r="H69" s="512"/>
      <c r="I69" s="512"/>
      <c r="J69" s="516"/>
      <c r="K69" s="512"/>
      <c r="L69" s="512"/>
      <c r="M69" s="512"/>
      <c r="N69" s="512"/>
      <c r="O69" s="512"/>
      <c r="Q69" s="517"/>
    </row>
    <row r="70" spans="7:17">
      <c r="G70" s="512"/>
      <c r="H70" s="512"/>
      <c r="I70" s="512"/>
      <c r="J70" s="516"/>
      <c r="K70" s="512"/>
      <c r="L70" s="512"/>
      <c r="M70" s="512"/>
      <c r="N70" s="512"/>
      <c r="O70" s="512"/>
      <c r="Q70" s="517"/>
    </row>
    <row r="71" spans="7:17">
      <c r="G71" s="512"/>
      <c r="H71" s="512"/>
      <c r="I71" s="512"/>
      <c r="J71" s="516"/>
      <c r="K71" s="512"/>
      <c r="L71" s="512"/>
      <c r="M71" s="512"/>
      <c r="N71" s="512"/>
      <c r="O71" s="512"/>
      <c r="Q71" s="517"/>
    </row>
    <row r="72" spans="7:17">
      <c r="G72" s="512"/>
      <c r="H72" s="512"/>
      <c r="I72" s="512"/>
      <c r="J72" s="516"/>
      <c r="K72" s="512"/>
      <c r="L72" s="512"/>
      <c r="M72" s="512"/>
      <c r="N72" s="512"/>
      <c r="O72" s="512"/>
      <c r="Q72" s="517"/>
    </row>
    <row r="73" spans="7:17">
      <c r="G73" s="512"/>
      <c r="H73" s="512"/>
      <c r="I73" s="512"/>
      <c r="J73" s="516"/>
      <c r="K73" s="512"/>
      <c r="L73" s="512"/>
      <c r="M73" s="512"/>
      <c r="N73" s="512"/>
      <c r="O73" s="512"/>
      <c r="Q73" s="517"/>
    </row>
    <row r="74" spans="7:17">
      <c r="G74" s="512"/>
      <c r="H74" s="512"/>
      <c r="I74" s="512"/>
      <c r="J74" s="516"/>
      <c r="K74" s="512"/>
      <c r="L74" s="512"/>
      <c r="M74" s="512"/>
      <c r="N74" s="512"/>
      <c r="O74" s="512"/>
      <c r="Q74" s="517"/>
    </row>
    <row r="75" spans="7:17">
      <c r="G75" s="512"/>
      <c r="H75" s="512"/>
      <c r="I75" s="512"/>
      <c r="J75" s="512"/>
      <c r="K75" s="512"/>
      <c r="L75" s="512"/>
      <c r="M75" s="512"/>
      <c r="N75" s="512"/>
      <c r="O75" s="512"/>
      <c r="Q75" s="517"/>
    </row>
    <row r="76" spans="7:17">
      <c r="G76" s="512"/>
      <c r="H76" s="512"/>
      <c r="I76" s="512"/>
      <c r="J76" s="516"/>
      <c r="K76" s="512"/>
      <c r="L76" s="512"/>
      <c r="M76" s="512"/>
      <c r="N76" s="512"/>
      <c r="O76" s="512"/>
      <c r="Q76" s="517"/>
    </row>
    <row r="77" spans="7:17">
      <c r="G77" s="512"/>
      <c r="H77" s="512"/>
      <c r="I77" s="512"/>
      <c r="J77" s="516"/>
      <c r="K77" s="512"/>
      <c r="L77" s="512"/>
      <c r="M77" s="512"/>
      <c r="N77" s="512"/>
      <c r="O77" s="512"/>
      <c r="Q77" s="517"/>
    </row>
    <row r="78" spans="7:17">
      <c r="G78" s="512"/>
      <c r="H78" s="512"/>
      <c r="I78" s="512"/>
      <c r="J78" s="516"/>
      <c r="K78" s="512"/>
      <c r="L78" s="512"/>
      <c r="M78" s="512"/>
      <c r="N78" s="512"/>
      <c r="O78" s="512"/>
      <c r="Q78" s="517"/>
    </row>
    <row r="79" spans="7:17">
      <c r="G79" s="512"/>
      <c r="H79" s="512"/>
      <c r="I79" s="512"/>
      <c r="J79" s="516"/>
      <c r="K79" s="512"/>
      <c r="L79" s="512"/>
      <c r="M79" s="512"/>
      <c r="N79" s="512"/>
      <c r="O79" s="512"/>
      <c r="Q79" s="517"/>
    </row>
    <row r="80" spans="7:17">
      <c r="G80" s="512"/>
      <c r="H80" s="512"/>
      <c r="I80" s="512"/>
      <c r="J80" s="516"/>
      <c r="K80" s="512"/>
      <c r="L80" s="512"/>
      <c r="M80" s="512"/>
      <c r="N80" s="512"/>
      <c r="O80" s="512"/>
      <c r="Q80" s="517"/>
    </row>
    <row r="81" spans="7:17">
      <c r="G81" s="512"/>
      <c r="H81" s="512"/>
      <c r="I81" s="512"/>
      <c r="J81" s="516"/>
      <c r="K81" s="512"/>
      <c r="L81" s="512"/>
      <c r="M81" s="512"/>
      <c r="N81" s="512"/>
      <c r="O81" s="512"/>
      <c r="Q81" s="517"/>
    </row>
    <row r="82" spans="7:17">
      <c r="G82" s="512"/>
      <c r="H82" s="512"/>
      <c r="I82" s="512"/>
      <c r="J82" s="516"/>
      <c r="K82" s="512"/>
      <c r="L82" s="512"/>
      <c r="M82" s="512"/>
      <c r="N82" s="512"/>
      <c r="O82" s="512"/>
      <c r="Q82" s="517"/>
    </row>
    <row r="83" spans="7:17">
      <c r="G83" s="512"/>
      <c r="H83" s="512"/>
      <c r="I83" s="512"/>
      <c r="J83" s="516"/>
      <c r="K83" s="512"/>
      <c r="L83" s="512"/>
      <c r="M83" s="512"/>
      <c r="N83" s="512"/>
      <c r="O83" s="512"/>
      <c r="Q83" s="517"/>
    </row>
    <row r="84" spans="7:17">
      <c r="G84" s="512"/>
      <c r="H84" s="512"/>
      <c r="I84" s="512"/>
      <c r="J84" s="516"/>
      <c r="K84" s="512"/>
      <c r="L84" s="512"/>
      <c r="M84" s="512"/>
      <c r="N84" s="512"/>
      <c r="O84" s="512"/>
      <c r="Q84" s="517"/>
    </row>
    <row r="85" spans="7:17">
      <c r="G85" s="512"/>
      <c r="H85" s="512"/>
      <c r="I85" s="512"/>
      <c r="J85" s="516"/>
      <c r="K85" s="512"/>
      <c r="L85" s="512"/>
      <c r="M85" s="512"/>
      <c r="N85" s="512"/>
      <c r="O85" s="512"/>
      <c r="Q85" s="517"/>
    </row>
    <row r="86" spans="7:17">
      <c r="G86" s="512"/>
      <c r="H86" s="512"/>
      <c r="I86" s="512"/>
      <c r="J86" s="516"/>
      <c r="K86" s="512"/>
      <c r="L86" s="512"/>
      <c r="M86" s="512"/>
      <c r="N86" s="512"/>
      <c r="O86" s="512"/>
      <c r="Q86" s="517"/>
    </row>
    <row r="87" spans="7:17">
      <c r="G87" s="512"/>
      <c r="H87" s="512"/>
      <c r="I87" s="512"/>
      <c r="J87" s="516"/>
      <c r="K87" s="512"/>
      <c r="L87" s="512"/>
      <c r="M87" s="512"/>
      <c r="N87" s="512"/>
      <c r="O87" s="512"/>
      <c r="Q87" s="517"/>
    </row>
    <row r="88" spans="7:17">
      <c r="G88" s="512"/>
      <c r="H88" s="512"/>
      <c r="I88" s="512"/>
      <c r="J88" s="516"/>
      <c r="K88" s="512"/>
      <c r="L88" s="512"/>
      <c r="M88" s="512"/>
      <c r="N88" s="512"/>
      <c r="O88" s="512"/>
      <c r="Q88" s="517"/>
    </row>
    <row r="89" spans="7:17">
      <c r="G89" s="512"/>
      <c r="H89" s="512"/>
      <c r="I89" s="512"/>
      <c r="J89" s="516"/>
      <c r="K89" s="512"/>
      <c r="L89" s="512"/>
      <c r="M89" s="512"/>
      <c r="N89" s="512"/>
      <c r="O89" s="512"/>
      <c r="Q89" s="517"/>
    </row>
    <row r="90" spans="7:17">
      <c r="G90" s="512"/>
      <c r="H90" s="512"/>
      <c r="I90" s="512"/>
      <c r="J90" s="516"/>
      <c r="K90" s="512"/>
      <c r="L90" s="512"/>
      <c r="M90" s="512"/>
      <c r="N90" s="512"/>
      <c r="O90" s="512"/>
      <c r="Q90" s="517"/>
    </row>
    <row r="91" spans="7:17">
      <c r="G91" s="512"/>
      <c r="H91" s="512"/>
      <c r="I91" s="512"/>
      <c r="J91" s="516"/>
      <c r="K91" s="512"/>
      <c r="L91" s="512"/>
      <c r="M91" s="512"/>
      <c r="N91" s="512"/>
      <c r="O91" s="512"/>
      <c r="Q91" s="517"/>
    </row>
    <row r="92" spans="7:17">
      <c r="G92" s="512"/>
      <c r="H92" s="512"/>
      <c r="I92" s="512"/>
      <c r="J92" s="516"/>
      <c r="K92" s="512"/>
      <c r="L92" s="512"/>
      <c r="M92" s="512"/>
      <c r="N92" s="512"/>
      <c r="O92" s="512"/>
      <c r="Q92" s="517"/>
    </row>
    <row r="93" spans="7:17">
      <c r="G93" s="512"/>
      <c r="H93" s="512"/>
      <c r="I93" s="512"/>
      <c r="J93" s="516"/>
      <c r="K93" s="512"/>
      <c r="L93" s="512"/>
      <c r="M93" s="512"/>
      <c r="N93" s="512"/>
      <c r="O93" s="512"/>
      <c r="Q93" s="517"/>
    </row>
    <row r="94" spans="7:17">
      <c r="G94" s="512"/>
      <c r="H94" s="512"/>
      <c r="I94" s="512"/>
      <c r="J94" s="516"/>
      <c r="K94" s="512"/>
      <c r="L94" s="512"/>
      <c r="M94" s="512"/>
      <c r="N94" s="512"/>
      <c r="O94" s="512"/>
      <c r="Q94" s="517"/>
    </row>
    <row r="95" spans="7:17">
      <c r="G95" s="512"/>
      <c r="H95" s="512"/>
      <c r="I95" s="512"/>
      <c r="J95" s="516"/>
      <c r="K95" s="512"/>
      <c r="L95" s="512"/>
      <c r="M95" s="512"/>
      <c r="N95" s="512"/>
      <c r="O95" s="512"/>
      <c r="Q95" s="517"/>
    </row>
    <row r="96" spans="7:17">
      <c r="G96" s="512"/>
      <c r="H96" s="512"/>
      <c r="I96" s="512"/>
      <c r="J96" s="516"/>
      <c r="K96" s="512"/>
      <c r="L96" s="512"/>
      <c r="M96" s="512"/>
      <c r="N96" s="512"/>
      <c r="O96" s="512"/>
      <c r="Q96" s="517"/>
    </row>
    <row r="97" spans="7:17">
      <c r="G97" s="512"/>
      <c r="H97" s="512"/>
      <c r="I97" s="512"/>
      <c r="J97" s="516"/>
      <c r="K97" s="512"/>
      <c r="L97" s="512"/>
      <c r="M97" s="512"/>
      <c r="N97" s="512"/>
      <c r="O97" s="512"/>
      <c r="Q97" s="517"/>
    </row>
    <row r="98" spans="7:17">
      <c r="G98" s="512"/>
      <c r="H98" s="512"/>
      <c r="I98" s="512"/>
      <c r="J98" s="516"/>
      <c r="K98" s="512"/>
      <c r="L98" s="512"/>
      <c r="M98" s="512"/>
      <c r="N98" s="512"/>
      <c r="O98" s="512"/>
      <c r="Q98" s="517"/>
    </row>
    <row r="99" spans="7:17">
      <c r="G99" s="512"/>
      <c r="H99" s="512"/>
      <c r="I99" s="512"/>
      <c r="J99" s="516"/>
      <c r="K99" s="512"/>
      <c r="L99" s="512"/>
      <c r="M99" s="512"/>
      <c r="N99" s="512"/>
      <c r="O99" s="512"/>
      <c r="Q99" s="517"/>
    </row>
    <row r="100" spans="7:17">
      <c r="G100" s="512"/>
      <c r="H100" s="512"/>
      <c r="I100" s="512"/>
      <c r="J100" s="516"/>
      <c r="K100" s="512"/>
      <c r="L100" s="512"/>
      <c r="M100" s="512"/>
      <c r="N100" s="512"/>
      <c r="O100" s="512"/>
      <c r="Q100" s="517"/>
    </row>
    <row r="101" spans="7:17">
      <c r="G101" s="512"/>
      <c r="H101" s="512"/>
      <c r="I101" s="512"/>
      <c r="J101" s="516"/>
      <c r="K101" s="512"/>
      <c r="L101" s="512"/>
      <c r="M101" s="512"/>
      <c r="N101" s="512"/>
      <c r="O101" s="512"/>
      <c r="Q101" s="517"/>
    </row>
    <row r="102" spans="7:17">
      <c r="G102" s="512"/>
      <c r="H102" s="512"/>
      <c r="I102" s="512"/>
      <c r="J102" s="516"/>
      <c r="K102" s="512"/>
      <c r="L102" s="512"/>
      <c r="M102" s="512"/>
      <c r="N102" s="512"/>
      <c r="O102" s="512"/>
      <c r="Q102" s="517"/>
    </row>
    <row r="103" spans="7:17">
      <c r="G103" s="512"/>
      <c r="H103" s="512"/>
      <c r="I103" s="512"/>
      <c r="J103" s="516"/>
      <c r="K103" s="512"/>
      <c r="L103" s="512"/>
      <c r="M103" s="512"/>
      <c r="N103" s="512"/>
      <c r="O103" s="512"/>
      <c r="Q103" s="517"/>
    </row>
    <row r="104" spans="7:17">
      <c r="G104" s="512"/>
      <c r="H104" s="512"/>
      <c r="I104" s="512"/>
      <c r="J104" s="516"/>
      <c r="K104" s="512"/>
      <c r="L104" s="512"/>
      <c r="M104" s="512"/>
      <c r="N104" s="512"/>
      <c r="O104" s="512"/>
      <c r="Q104" s="517"/>
    </row>
    <row r="105" spans="7:17">
      <c r="G105" s="512"/>
      <c r="H105" s="512"/>
      <c r="I105" s="512"/>
      <c r="J105" s="516"/>
      <c r="K105" s="512"/>
      <c r="L105" s="512"/>
      <c r="M105" s="512"/>
      <c r="N105" s="512"/>
      <c r="O105" s="512"/>
      <c r="Q105" s="517"/>
    </row>
    <row r="106" spans="7:17">
      <c r="G106" s="512"/>
      <c r="H106" s="512"/>
      <c r="I106" s="512"/>
      <c r="J106" s="516"/>
      <c r="K106" s="512"/>
      <c r="L106" s="512"/>
      <c r="M106" s="512"/>
      <c r="N106" s="512"/>
      <c r="O106" s="512"/>
      <c r="Q106" s="517"/>
    </row>
    <row r="107" spans="7:17">
      <c r="G107" s="512"/>
      <c r="H107" s="512"/>
      <c r="I107" s="512"/>
      <c r="J107" s="516"/>
      <c r="K107" s="512"/>
      <c r="L107" s="512"/>
      <c r="M107" s="512"/>
      <c r="N107" s="512"/>
      <c r="O107" s="512"/>
      <c r="Q107" s="517"/>
    </row>
    <row r="108" spans="7:17">
      <c r="G108" s="512"/>
      <c r="H108" s="512"/>
      <c r="I108" s="512"/>
      <c r="J108" s="516"/>
      <c r="K108" s="512"/>
      <c r="L108" s="512"/>
      <c r="M108" s="512"/>
      <c r="N108" s="512"/>
      <c r="O108" s="512"/>
      <c r="Q108" s="517"/>
    </row>
    <row r="109" spans="7:17">
      <c r="G109" s="512"/>
      <c r="H109" s="512"/>
      <c r="I109" s="512"/>
      <c r="J109" s="516"/>
      <c r="K109" s="512"/>
      <c r="L109" s="512"/>
      <c r="M109" s="512"/>
      <c r="N109" s="512"/>
      <c r="O109" s="512"/>
      <c r="Q109" s="517"/>
    </row>
    <row r="110" spans="7:17">
      <c r="G110" s="512"/>
      <c r="H110" s="512"/>
      <c r="I110" s="512"/>
      <c r="J110" s="512"/>
      <c r="K110" s="512"/>
      <c r="L110" s="512"/>
      <c r="M110" s="512"/>
      <c r="N110" s="512"/>
      <c r="O110" s="512"/>
      <c r="Q110" s="517"/>
    </row>
    <row r="111" spans="7:17">
      <c r="G111" s="512"/>
      <c r="H111" s="512"/>
      <c r="I111" s="512"/>
      <c r="J111" s="135"/>
      <c r="K111" s="512"/>
      <c r="L111" s="512"/>
      <c r="M111" s="512"/>
      <c r="N111" s="512"/>
      <c r="O111" s="512"/>
      <c r="Q111" s="517"/>
    </row>
    <row r="112" spans="7:17">
      <c r="G112" s="512"/>
      <c r="H112" s="512"/>
      <c r="I112" s="512"/>
      <c r="J112" s="516"/>
      <c r="K112" s="512"/>
      <c r="L112" s="512"/>
      <c r="M112" s="512"/>
      <c r="N112" s="512"/>
      <c r="O112" s="512"/>
      <c r="Q112" s="517"/>
    </row>
    <row r="113" spans="7:17">
      <c r="G113" s="512"/>
      <c r="H113" s="512"/>
      <c r="I113" s="512"/>
      <c r="J113" s="516"/>
      <c r="K113" s="512"/>
      <c r="L113" s="512"/>
      <c r="M113" s="512"/>
      <c r="N113" s="512"/>
      <c r="O113" s="512"/>
      <c r="Q113" s="517"/>
    </row>
    <row r="114" spans="7:17">
      <c r="G114" s="512"/>
      <c r="H114" s="512"/>
      <c r="I114" s="512"/>
      <c r="J114" s="516"/>
      <c r="K114" s="512"/>
      <c r="L114" s="512"/>
      <c r="M114" s="512"/>
      <c r="N114" s="512"/>
      <c r="O114" s="512"/>
      <c r="Q114" s="517"/>
    </row>
    <row r="115" spans="7:17">
      <c r="G115" s="512"/>
      <c r="H115" s="512"/>
      <c r="I115" s="512"/>
      <c r="J115" s="516"/>
      <c r="K115" s="512"/>
      <c r="L115" s="512"/>
      <c r="M115" s="512"/>
      <c r="N115" s="512"/>
      <c r="O115" s="512"/>
      <c r="Q115" s="517"/>
    </row>
    <row r="116" spans="7:17">
      <c r="G116" s="512"/>
      <c r="H116" s="512"/>
      <c r="I116" s="512"/>
      <c r="J116" s="525"/>
      <c r="K116" s="512"/>
      <c r="L116" s="512"/>
      <c r="M116" s="512"/>
      <c r="N116" s="512"/>
      <c r="O116" s="512"/>
      <c r="Q116" s="517"/>
    </row>
    <row r="117" spans="7:17">
      <c r="G117" s="512"/>
      <c r="H117" s="512"/>
      <c r="I117" s="512"/>
      <c r="J117" s="516"/>
      <c r="K117" s="512"/>
      <c r="L117" s="512"/>
      <c r="M117" s="512"/>
      <c r="N117" s="512"/>
      <c r="O117" s="512"/>
      <c r="Q117" s="517"/>
    </row>
    <row r="118" spans="7:17">
      <c r="G118" s="512"/>
      <c r="H118" s="512"/>
      <c r="I118" s="512"/>
      <c r="J118" s="516"/>
      <c r="K118" s="512"/>
      <c r="L118" s="512"/>
      <c r="M118" s="512"/>
      <c r="N118" s="512"/>
      <c r="O118" s="512"/>
      <c r="Q118" s="517"/>
    </row>
    <row r="119" spans="7:17">
      <c r="G119" s="512"/>
      <c r="H119" s="512"/>
      <c r="I119" s="512"/>
      <c r="J119" s="516"/>
      <c r="K119" s="512"/>
      <c r="L119" s="512"/>
      <c r="M119" s="512"/>
      <c r="N119" s="512"/>
      <c r="O119" s="512"/>
      <c r="Q119" s="517"/>
    </row>
    <row r="120" spans="7:17">
      <c r="K120" s="512"/>
      <c r="L120" s="512"/>
      <c r="M120" s="512"/>
      <c r="N120" s="512"/>
      <c r="O120" s="512"/>
      <c r="Q120" s="517"/>
    </row>
    <row r="121" spans="7:17">
      <c r="G121" s="512"/>
      <c r="H121" s="512"/>
      <c r="I121" s="512"/>
      <c r="J121" s="512"/>
      <c r="K121" s="512"/>
      <c r="L121" s="512"/>
      <c r="M121" s="512"/>
      <c r="N121" s="512"/>
      <c r="O121" s="512"/>
      <c r="Q121" s="517"/>
    </row>
    <row r="122" spans="7:17">
      <c r="G122" s="512"/>
      <c r="H122" s="512"/>
      <c r="I122" s="512"/>
      <c r="J122" s="512"/>
      <c r="K122" s="512"/>
      <c r="L122" s="512"/>
      <c r="M122" s="512"/>
      <c r="N122" s="512"/>
      <c r="O122" s="512"/>
      <c r="Q122" s="517"/>
    </row>
    <row r="123" spans="7:17">
      <c r="G123" s="512"/>
      <c r="H123" s="512"/>
      <c r="I123" s="512"/>
      <c r="J123" s="512"/>
      <c r="K123" s="512"/>
      <c r="L123" s="512"/>
      <c r="M123" s="512"/>
      <c r="N123" s="512"/>
      <c r="O123" s="512"/>
      <c r="Q123" s="517"/>
    </row>
    <row r="124" spans="7:17">
      <c r="G124" s="512"/>
      <c r="H124" s="512"/>
      <c r="I124" s="512"/>
      <c r="J124" s="512"/>
      <c r="K124" s="512"/>
      <c r="L124" s="512"/>
      <c r="M124" s="512"/>
      <c r="N124" s="512"/>
      <c r="O124" s="512"/>
      <c r="Q124" s="517"/>
    </row>
    <row r="125" spans="7:17">
      <c r="G125" s="512"/>
      <c r="H125" s="512"/>
      <c r="I125" s="512"/>
      <c r="J125" s="512"/>
      <c r="K125" s="512"/>
      <c r="L125" s="512"/>
      <c r="M125" s="512"/>
      <c r="N125" s="512"/>
      <c r="O125" s="512"/>
      <c r="Q125" s="517"/>
    </row>
    <row r="126" spans="7:17">
      <c r="G126" s="512"/>
      <c r="H126" s="512"/>
      <c r="I126" s="512"/>
      <c r="J126" s="512"/>
      <c r="K126" s="512"/>
      <c r="L126" s="512"/>
      <c r="M126" s="512"/>
      <c r="N126" s="512"/>
      <c r="O126" s="512"/>
      <c r="Q126" s="517"/>
    </row>
    <row r="127" spans="7:17">
      <c r="G127" s="512"/>
      <c r="H127" s="512"/>
      <c r="I127" s="512"/>
      <c r="J127" s="512"/>
      <c r="K127" s="512"/>
      <c r="L127" s="512"/>
      <c r="M127" s="512"/>
      <c r="N127" s="512"/>
      <c r="O127" s="512"/>
      <c r="Q127" s="517"/>
    </row>
    <row r="128" spans="7:17">
      <c r="G128" s="512"/>
      <c r="H128" s="512"/>
      <c r="I128" s="512"/>
      <c r="J128" s="512"/>
      <c r="K128" s="512"/>
      <c r="L128" s="512"/>
      <c r="M128" s="512"/>
      <c r="N128" s="512"/>
      <c r="O128" s="512"/>
      <c r="Q128" s="517"/>
    </row>
    <row r="129" spans="7:17">
      <c r="G129" s="512"/>
      <c r="H129" s="512"/>
      <c r="I129" s="512"/>
      <c r="J129" s="512"/>
      <c r="K129" s="512"/>
      <c r="L129" s="512"/>
      <c r="M129" s="512"/>
      <c r="N129" s="512"/>
      <c r="O129" s="512"/>
      <c r="Q129" s="517"/>
    </row>
    <row r="130" spans="7:17">
      <c r="G130" s="512"/>
      <c r="H130" s="512"/>
      <c r="I130" s="512"/>
      <c r="J130" s="512"/>
      <c r="K130" s="512"/>
      <c r="L130" s="512"/>
      <c r="M130" s="512"/>
      <c r="N130" s="512"/>
      <c r="O130" s="512"/>
      <c r="Q130" s="517"/>
    </row>
    <row r="131" spans="7:17">
      <c r="G131" s="512"/>
      <c r="H131" s="512"/>
      <c r="I131" s="512"/>
      <c r="J131" s="512"/>
      <c r="K131" s="512"/>
      <c r="L131" s="512"/>
      <c r="M131" s="512"/>
      <c r="N131" s="512"/>
      <c r="O131" s="512"/>
      <c r="Q131" s="517"/>
    </row>
    <row r="132" spans="7:17">
      <c r="G132" s="512"/>
      <c r="H132" s="512"/>
      <c r="I132" s="512"/>
      <c r="J132" s="512"/>
      <c r="K132" s="512"/>
      <c r="L132" s="512"/>
      <c r="M132" s="512"/>
      <c r="N132" s="512"/>
      <c r="O132" s="512"/>
      <c r="Q132" s="517"/>
    </row>
    <row r="133" spans="7:17">
      <c r="G133" s="512"/>
      <c r="H133" s="512"/>
      <c r="I133" s="512"/>
      <c r="J133" s="512"/>
      <c r="K133" s="512"/>
      <c r="L133" s="512"/>
      <c r="M133" s="512"/>
      <c r="N133" s="512"/>
      <c r="O133" s="512"/>
      <c r="Q133" s="517"/>
    </row>
    <row r="134" spans="7:17">
      <c r="G134" s="512"/>
      <c r="H134" s="512"/>
      <c r="I134" s="512"/>
      <c r="J134" s="512"/>
      <c r="K134" s="512"/>
      <c r="L134" s="512"/>
      <c r="M134" s="512"/>
      <c r="N134" s="512"/>
      <c r="O134" s="512"/>
      <c r="Q134" s="517"/>
    </row>
    <row r="135" spans="7:17">
      <c r="G135" s="512"/>
      <c r="H135" s="512"/>
      <c r="I135" s="512"/>
      <c r="J135" s="512"/>
      <c r="K135" s="512"/>
      <c r="L135" s="512"/>
      <c r="M135" s="512"/>
      <c r="N135" s="512"/>
      <c r="O135" s="512"/>
      <c r="Q135" s="517"/>
    </row>
    <row r="136" spans="7:17">
      <c r="G136" s="512"/>
      <c r="H136" s="512"/>
      <c r="I136" s="512"/>
      <c r="J136" s="512"/>
      <c r="K136" s="512"/>
      <c r="L136" s="512"/>
      <c r="M136" s="512"/>
      <c r="N136" s="512"/>
      <c r="O136" s="512"/>
      <c r="Q136" s="517"/>
    </row>
    <row r="137" spans="7:17">
      <c r="G137" s="512"/>
      <c r="H137" s="512"/>
      <c r="I137" s="512"/>
      <c r="J137" s="512"/>
      <c r="K137" s="512"/>
      <c r="L137" s="512"/>
      <c r="M137" s="512"/>
      <c r="N137" s="512"/>
      <c r="O137" s="512"/>
      <c r="Q137" s="517"/>
    </row>
    <row r="138" spans="7:17">
      <c r="G138" s="512"/>
      <c r="H138" s="512"/>
      <c r="I138" s="512"/>
      <c r="J138" s="512"/>
      <c r="K138" s="512"/>
      <c r="L138" s="512"/>
      <c r="M138" s="512"/>
      <c r="N138" s="512"/>
      <c r="O138" s="512"/>
      <c r="Q138" s="517"/>
    </row>
    <row r="139" spans="7:17">
      <c r="G139" s="512"/>
      <c r="H139" s="512"/>
      <c r="I139" s="512"/>
      <c r="J139" s="512"/>
      <c r="K139" s="512"/>
      <c r="L139" s="512"/>
      <c r="M139" s="512"/>
      <c r="N139" s="512"/>
      <c r="O139" s="512"/>
      <c r="Q139" s="517"/>
    </row>
    <row r="140" spans="7:17">
      <c r="G140" s="512"/>
      <c r="H140" s="512"/>
      <c r="I140" s="512"/>
      <c r="J140" s="512"/>
      <c r="K140" s="512"/>
      <c r="L140" s="512"/>
      <c r="M140" s="512"/>
      <c r="N140" s="512"/>
      <c r="O140" s="512"/>
      <c r="Q140" s="517"/>
    </row>
    <row r="141" spans="7:17">
      <c r="G141" s="512"/>
      <c r="H141" s="512"/>
      <c r="I141" s="512"/>
      <c r="J141" s="512"/>
      <c r="K141" s="512"/>
      <c r="L141" s="512"/>
      <c r="M141" s="512"/>
      <c r="N141" s="512"/>
      <c r="O141" s="512"/>
      <c r="Q141" s="517"/>
    </row>
    <row r="142" spans="7:17">
      <c r="G142" s="512"/>
      <c r="H142" s="512"/>
      <c r="I142" s="512"/>
      <c r="J142" s="512"/>
      <c r="K142" s="512"/>
      <c r="L142" s="512"/>
      <c r="M142" s="512"/>
      <c r="N142" s="512"/>
      <c r="O142" s="512"/>
      <c r="Q142" s="517"/>
    </row>
    <row r="143" spans="7:17">
      <c r="G143" s="512"/>
      <c r="H143" s="512"/>
      <c r="I143" s="512"/>
      <c r="J143" s="512"/>
      <c r="K143" s="512"/>
      <c r="L143" s="512"/>
      <c r="M143" s="512"/>
      <c r="N143" s="512"/>
      <c r="O143" s="512"/>
      <c r="Q143" s="517"/>
    </row>
    <row r="144" spans="7:17">
      <c r="G144" s="512"/>
      <c r="H144" s="512"/>
      <c r="I144" s="512"/>
      <c r="J144" s="512"/>
      <c r="K144" s="512"/>
      <c r="L144" s="512"/>
      <c r="M144" s="512"/>
      <c r="N144" s="512"/>
      <c r="O144" s="512"/>
      <c r="Q144" s="517"/>
    </row>
    <row r="145" spans="7:17">
      <c r="G145" s="512"/>
      <c r="H145" s="512"/>
      <c r="I145" s="512"/>
      <c r="J145" s="512"/>
      <c r="K145" s="512"/>
      <c r="L145" s="512"/>
      <c r="M145" s="512"/>
      <c r="N145" s="512"/>
      <c r="O145" s="512"/>
      <c r="Q145" s="517"/>
    </row>
    <row r="146" spans="7:17">
      <c r="G146" s="512"/>
      <c r="H146" s="512"/>
      <c r="I146" s="512"/>
      <c r="J146" s="512"/>
      <c r="K146" s="512"/>
      <c r="L146" s="512"/>
      <c r="M146" s="512"/>
      <c r="N146" s="512"/>
      <c r="O146" s="512"/>
      <c r="Q146" s="517"/>
    </row>
    <row r="147" spans="7:17">
      <c r="G147" s="512"/>
      <c r="H147" s="512"/>
      <c r="I147" s="512"/>
      <c r="J147" s="512"/>
      <c r="K147" s="512"/>
      <c r="L147" s="512"/>
      <c r="M147" s="512"/>
      <c r="N147" s="512"/>
      <c r="O147" s="512"/>
      <c r="Q147" s="517"/>
    </row>
    <row r="148" spans="7:17">
      <c r="G148" s="512"/>
      <c r="H148" s="512"/>
      <c r="I148" s="512"/>
      <c r="J148" s="512"/>
      <c r="K148" s="512"/>
      <c r="L148" s="512"/>
      <c r="M148" s="512"/>
      <c r="N148" s="512"/>
      <c r="O148" s="512"/>
      <c r="Q148" s="517"/>
    </row>
    <row r="149" spans="7:17">
      <c r="G149" s="512"/>
      <c r="H149" s="512"/>
      <c r="I149" s="512"/>
      <c r="J149" s="512"/>
      <c r="K149" s="512"/>
      <c r="L149" s="512"/>
      <c r="M149" s="512"/>
      <c r="N149" s="512"/>
      <c r="O149" s="512"/>
      <c r="Q149" s="517"/>
    </row>
    <row r="150" spans="7:17">
      <c r="G150" s="512"/>
      <c r="H150" s="512"/>
      <c r="I150" s="512"/>
      <c r="J150" s="512"/>
      <c r="K150" s="512"/>
      <c r="L150" s="512"/>
      <c r="M150" s="512"/>
      <c r="N150" s="512"/>
      <c r="O150" s="512"/>
      <c r="Q150" s="517"/>
    </row>
    <row r="151" spans="7:17">
      <c r="G151" s="512"/>
      <c r="H151" s="512"/>
      <c r="I151" s="512"/>
      <c r="J151" s="512"/>
      <c r="K151" s="512"/>
      <c r="L151" s="512"/>
      <c r="M151" s="512"/>
      <c r="N151" s="512"/>
      <c r="O151" s="512"/>
      <c r="Q151" s="517"/>
    </row>
    <row r="152" spans="7:17">
      <c r="G152" s="512"/>
      <c r="H152" s="512"/>
      <c r="I152" s="512"/>
      <c r="J152" s="512"/>
      <c r="K152" s="512"/>
      <c r="L152" s="512"/>
      <c r="M152" s="512"/>
      <c r="N152" s="512"/>
      <c r="O152" s="512"/>
      <c r="Q152" s="517"/>
    </row>
    <row r="153" spans="7:17">
      <c r="G153" s="512"/>
      <c r="H153" s="512"/>
      <c r="I153" s="512"/>
      <c r="J153" s="512"/>
      <c r="K153" s="512"/>
      <c r="L153" s="512"/>
      <c r="M153" s="512"/>
      <c r="N153" s="512"/>
      <c r="O153" s="512"/>
      <c r="Q153" s="517"/>
    </row>
    <row r="154" spans="7:17">
      <c r="G154" s="512"/>
      <c r="H154" s="512"/>
      <c r="I154" s="512"/>
      <c r="J154" s="512"/>
      <c r="K154" s="512"/>
      <c r="L154" s="512"/>
      <c r="M154" s="512"/>
      <c r="N154" s="512"/>
      <c r="O154" s="512"/>
      <c r="Q154" s="517"/>
    </row>
    <row r="155" spans="7:17">
      <c r="K155" s="512"/>
      <c r="L155" s="512"/>
      <c r="M155" s="512"/>
      <c r="N155" s="512"/>
      <c r="O155" s="512"/>
      <c r="Q155" s="517"/>
    </row>
    <row r="156" spans="7:17">
      <c r="K156" s="512"/>
      <c r="L156" s="512"/>
      <c r="M156" s="512"/>
      <c r="N156" s="512"/>
      <c r="O156" s="512"/>
      <c r="Q156" s="517"/>
    </row>
    <row r="157" spans="7:17">
      <c r="K157" s="512"/>
      <c r="L157" s="512"/>
      <c r="M157" s="512"/>
      <c r="N157" s="512"/>
      <c r="O157" s="512"/>
      <c r="Q157" s="517"/>
    </row>
    <row r="158" spans="7:17">
      <c r="K158" s="512"/>
      <c r="L158" s="512"/>
      <c r="M158" s="512"/>
      <c r="N158" s="512"/>
      <c r="O158" s="512"/>
      <c r="Q158" s="517"/>
    </row>
    <row r="159" spans="7:17">
      <c r="K159" s="512"/>
      <c r="L159" s="512"/>
      <c r="M159" s="512"/>
      <c r="N159" s="512"/>
      <c r="O159" s="512"/>
      <c r="Q159" s="517"/>
    </row>
    <row r="160" spans="7:17">
      <c r="K160" s="512"/>
      <c r="L160" s="512"/>
      <c r="M160" s="512"/>
      <c r="N160" s="512"/>
      <c r="O160" s="512"/>
      <c r="Q160" s="517"/>
    </row>
    <row r="161" spans="11:17">
      <c r="K161" s="512"/>
      <c r="L161" s="512"/>
      <c r="M161" s="512"/>
      <c r="N161" s="512"/>
      <c r="O161" s="512"/>
      <c r="Q161" s="517"/>
    </row>
    <row r="162" spans="11:17">
      <c r="K162" s="512"/>
      <c r="L162" s="512"/>
      <c r="M162" s="512"/>
      <c r="N162" s="512"/>
      <c r="O162" s="512"/>
      <c r="Q162" s="517"/>
    </row>
    <row r="163" spans="11:17">
      <c r="K163" s="512"/>
      <c r="L163" s="512"/>
      <c r="M163" s="512"/>
      <c r="N163" s="512"/>
      <c r="O163" s="512"/>
      <c r="Q163" s="517"/>
    </row>
  </sheetData>
  <mergeCells count="1">
    <mergeCell ref="T4:W7"/>
  </mergeCell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E8694-0220-44F8-8168-40B28499E35A}">
  <sheetPr>
    <tabColor rgb="FFF4B084"/>
  </sheetPr>
  <dimension ref="A1:W163"/>
  <sheetViews>
    <sheetView showGridLines="0" workbookViewId="0">
      <selection activeCell="I39" sqref="I39"/>
    </sheetView>
  </sheetViews>
  <sheetFormatPr defaultColWidth="8.875" defaultRowHeight="15"/>
  <cols>
    <col min="1" max="1" width="8.875" style="117"/>
    <col min="2" max="2" width="27.625" style="94" customWidth="1"/>
    <col min="3" max="3" width="11" style="131" bestFit="1" customWidth="1"/>
    <col min="4" max="4" width="10.5" style="94" bestFit="1" customWidth="1"/>
    <col min="5" max="5" width="12.5" style="94" bestFit="1" customWidth="1"/>
    <col min="6" max="7" width="10.5" style="94" bestFit="1" customWidth="1"/>
    <col min="8" max="9" width="10.125" style="94" customWidth="1"/>
    <col min="10" max="10" width="16.375" style="94" customWidth="1"/>
    <col min="11" max="16" width="8.875" style="94"/>
    <col min="17" max="17" width="8.875" style="124"/>
    <col min="18" max="16384" width="8.875" style="94"/>
  </cols>
  <sheetData>
    <row r="1" spans="1:23" s="109" customFormat="1">
      <c r="A1" s="511"/>
      <c r="B1" s="109" t="s">
        <v>2156</v>
      </c>
      <c r="C1" s="110" t="s">
        <v>2827</v>
      </c>
      <c r="D1" s="115" t="s">
        <v>2828</v>
      </c>
      <c r="E1" s="115" t="s">
        <v>2829</v>
      </c>
      <c r="F1" s="115" t="s">
        <v>2830</v>
      </c>
      <c r="G1" s="116" t="s">
        <v>2831</v>
      </c>
      <c r="H1" s="116" t="s">
        <v>2832</v>
      </c>
      <c r="I1" s="116" t="s">
        <v>2833</v>
      </c>
      <c r="J1" s="116" t="s">
        <v>2721</v>
      </c>
      <c r="K1" s="116"/>
      <c r="L1" s="116"/>
      <c r="M1" s="116"/>
      <c r="N1" s="116"/>
      <c r="O1" s="116"/>
    </row>
    <row r="2" spans="1:23">
      <c r="B2" s="512" t="s">
        <v>189</v>
      </c>
      <c r="C2" s="513">
        <f>SUMIFS('MAIN DATASET'!R:R,'MAIN DATASET'!B:B,'Aid over time'!B2,'MAIN DATASET'!C:C,"&gt;=1/1/2022",'MAIN DATASET'!C:C,"&lt;=1/31/2022")/1000000000</f>
        <v>0</v>
      </c>
      <c r="D2" s="94">
        <f>SUMIFS('MAIN DATASET'!R:R,'MAIN DATASET'!B:B,'Aid over time'!B2,'MAIN DATASET'!C:C,"&gt;=2/1/2022",'MAIN DATASET'!C:C,"&lt;=2/28/2022")/1000000000</f>
        <v>0</v>
      </c>
      <c r="E2" s="94">
        <f>SUMIFS('MAIN DATASET'!R:R,'MAIN DATASET'!B:B,'Aid over time'!B2,'MAIN DATASET'!C:C,"&gt;=3/1/2022",'MAIN DATASET'!C:C,"&lt;=3/31/2022")/1000000000</f>
        <v>0.12451025964539478</v>
      </c>
      <c r="F2" s="94">
        <f>SUMIFS('MAIN DATASET'!R:R,'MAIN DATASET'!B:B,'Aid over time'!B2,'MAIN DATASET'!C:C,"&gt;=4/1/2022",'MAIN DATASET'!C:C,"&lt;=4/30/2022")/1000000000</f>
        <v>6.786639219071651E-2</v>
      </c>
      <c r="G2" s="512">
        <f>SUMIFS('MAIN DATASET'!R:R,'MAIN DATASET'!B:B,'Aid over time'!B2,'MAIN DATASET'!C:C,"&gt;=5/1/2022",'MAIN DATASET'!C:C,"&lt;=5/31/2022")/1000000000</f>
        <v>4.0440932332824225E-2</v>
      </c>
      <c r="H2" s="512">
        <f>SUMIFS('MAIN DATASET'!R:R,'MAIN DATASET'!B:B,'Aid over time'!B2,'MAIN DATASET'!C:C,"&gt;=6/1/2022",'MAIN DATASET'!C:C,"&lt;=6/30/2022")/1000000000</f>
        <v>0</v>
      </c>
      <c r="I2" s="512">
        <f>SUMIFS('MAIN DATASET'!R:R,'MAIN DATASET'!B:B,'Aid over time'!B2,'MAIN DATASET'!C:C,"&gt;=7/1/2022",'MAIN DATASET'!C:C,"&lt;=7/31/2022")/1000000000</f>
        <v>0</v>
      </c>
      <c r="J2" s="513">
        <f t="shared" ref="J2:J42" si="0">SUM(C2:I2)</f>
        <v>0.23281758416893553</v>
      </c>
      <c r="K2" s="512"/>
      <c r="L2" s="512"/>
      <c r="M2" s="512"/>
      <c r="N2" s="512"/>
      <c r="O2" s="512"/>
      <c r="Q2" s="517"/>
    </row>
    <row r="3" spans="1:23">
      <c r="B3" s="94" t="s">
        <v>257</v>
      </c>
      <c r="C3" s="513">
        <f>SUMIFS('MAIN DATASET'!R:R,'MAIN DATASET'!B:B,'Aid over time'!B3,'MAIN DATASET'!C:C,"&gt;=1/1/2022",'MAIN DATASET'!C:C,"&lt;=1/31/2022")/1000000000</f>
        <v>0</v>
      </c>
      <c r="D3" s="94">
        <f>SUMIFS('MAIN DATASET'!R:R,'MAIN DATASET'!B:B,'Aid over time'!B3,'MAIN DATASET'!C:C,"&gt;=2/1/2022",'MAIN DATASET'!C:C,"&lt;=2/28/2022")/1000000000</f>
        <v>7.3390151515151511E-4</v>
      </c>
      <c r="E3" s="94">
        <f>SUMIFS('MAIN DATASET'!R:R,'MAIN DATASET'!B:B,'Aid over time'!B3,'MAIN DATASET'!C:C,"&gt;=3/1/2022",'MAIN DATASET'!C:C,"&lt;=3/31/2022")/1000000000</f>
        <v>1.3386040767045453E-2</v>
      </c>
      <c r="F3" s="94">
        <f>SUMIFS('MAIN DATASET'!R:R,'MAIN DATASET'!B:B,'Aid over time'!B3,'MAIN DATASET'!C:C,"&gt;=4/1/2022",'MAIN DATASET'!C:C,"&lt;=4/30/2022")/1000000000</f>
        <v>0</v>
      </c>
      <c r="G3" s="512">
        <f>SUMIFS('MAIN DATASET'!R:R,'MAIN DATASET'!B:B,'Aid over time'!B3,'MAIN DATASET'!C:C,"&gt;=5/1/2022",'MAIN DATASET'!C:C,"&lt;=5/31/2022")/1000000000</f>
        <v>3.6900000000000002E-2</v>
      </c>
      <c r="H3" s="512">
        <f>SUMIFS('MAIN DATASET'!R:R,'MAIN DATASET'!B:B,'Aid over time'!B3,'MAIN DATASET'!C:C,"&gt;=6/1/2022",'MAIN DATASET'!C:C,"&lt;=6/30/2022")/1000000000</f>
        <v>7.4999999999999997E-3</v>
      </c>
      <c r="I3" s="512">
        <f>SUMIFS('MAIN DATASET'!R:R,'MAIN DATASET'!B:B,'Aid over time'!B3,'MAIN DATASET'!C:C,"&gt;=7/1/2022",'MAIN DATASET'!C:C,"&lt;=7/31/2022")/1000000000</f>
        <v>0</v>
      </c>
      <c r="J3" s="513">
        <f t="shared" si="0"/>
        <v>5.8519942282196973E-2</v>
      </c>
      <c r="K3" s="512"/>
      <c r="L3" s="512"/>
      <c r="M3" s="512"/>
      <c r="N3" s="512"/>
      <c r="O3" s="512"/>
      <c r="Q3" s="517"/>
    </row>
    <row r="4" spans="1:23">
      <c r="B4" s="94" t="s">
        <v>296</v>
      </c>
      <c r="C4" s="513">
        <f>SUMIFS('MAIN DATASET'!R:R,'MAIN DATASET'!B:B,'Aid over time'!B4,'MAIN DATASET'!C:C,"&gt;=1/1/2022",'MAIN DATASET'!C:C,"&lt;=1/31/2022")/1000000000</f>
        <v>0</v>
      </c>
      <c r="D4" s="94">
        <f>SUMIFS('MAIN DATASET'!R:R,'MAIN DATASET'!B:B,'Aid over time'!B4,'MAIN DATASET'!C:C,"&gt;=2/1/2022",'MAIN DATASET'!C:C,"&lt;=2/28/2022")/1000000000</f>
        <v>7.5999999999999998E-2</v>
      </c>
      <c r="E4" s="94">
        <f>SUMIFS('MAIN DATASET'!R:R,'MAIN DATASET'!B:B,'Aid over time'!B4,'MAIN DATASET'!C:C,"&gt;=3/1/2022",'MAIN DATASET'!C:C,"&lt;=3/31/2022")/1000000000</f>
        <v>3.63E-3</v>
      </c>
      <c r="F4" s="94">
        <f>SUMIFS('MAIN DATASET'!R:R,'MAIN DATASET'!B:B,'Aid over time'!B4,'MAIN DATASET'!C:C,"&gt;=4/1/2022",'MAIN DATASET'!C:C,"&lt;=4/30/2022")/1000000000</f>
        <v>8.3000000000000004E-2</v>
      </c>
      <c r="G4" s="512">
        <f>SUMIFS('MAIN DATASET'!R:R,'MAIN DATASET'!B:B,'Aid over time'!B4,'MAIN DATASET'!C:C,"&gt;=5/1/2022",'MAIN DATASET'!C:C,"&lt;=5/31/2022")/1000000000</f>
        <v>2.9770000000000001E-2</v>
      </c>
      <c r="H4" s="512">
        <f>SUMIFS('MAIN DATASET'!R:R,'MAIN DATASET'!B:B,'Aid over time'!B4,'MAIN DATASET'!C:C,"&gt;=6/1/2022",'MAIN DATASET'!C:C,"&lt;=6/30/2022")/1000000000</f>
        <v>0</v>
      </c>
      <c r="I4" s="512">
        <f>SUMIFS('MAIN DATASET'!R:R,'MAIN DATASET'!B:B,'Aid over time'!B4,'MAIN DATASET'!C:C,"&gt;=7/1/2022",'MAIN DATASET'!C:C,"&lt;=7/31/2022")/1000000000</f>
        <v>0</v>
      </c>
      <c r="J4" s="513">
        <f t="shared" si="0"/>
        <v>0.19239999999999999</v>
      </c>
      <c r="K4" s="512"/>
      <c r="L4" s="512"/>
      <c r="M4" s="512"/>
      <c r="N4" s="512"/>
      <c r="O4" s="512"/>
      <c r="Q4" s="517"/>
      <c r="T4" s="997"/>
      <c r="U4" s="997"/>
      <c r="V4" s="997"/>
      <c r="W4" s="997"/>
    </row>
    <row r="5" spans="1:23" ht="15.75" customHeight="1">
      <c r="B5" s="126" t="s">
        <v>329</v>
      </c>
      <c r="C5" s="513">
        <f>SUMIFS('MAIN DATASET'!R:R,'MAIN DATASET'!B:B,'Aid over time'!B5,'MAIN DATASET'!C:C,"&gt;=1/1/2022",'MAIN DATASET'!C:C,"&lt;=1/31/2022")/1000000000</f>
        <v>0</v>
      </c>
      <c r="D5" s="94">
        <f>SUMIFS('MAIN DATASET'!R:R,'MAIN DATASET'!B:B,'Aid over time'!B5,'MAIN DATASET'!C:C,"&gt;=2/1/2022",'MAIN DATASET'!C:C,"&lt;=2/28/2022")/1000000000</f>
        <v>0</v>
      </c>
      <c r="E5" s="94">
        <f>SUMIFS('MAIN DATASET'!R:R,'MAIN DATASET'!B:B,'Aid over time'!B5,'MAIN DATASET'!C:C,"&gt;=3/1/2022",'MAIN DATASET'!C:C,"&lt;=3/31/2022")/1000000000</f>
        <v>0</v>
      </c>
      <c r="F5" s="94">
        <f>SUMIFS('MAIN DATASET'!R:R,'MAIN DATASET'!B:B,'Aid over time'!B5,'MAIN DATASET'!C:C,"&gt;=4/1/2022",'MAIN DATASET'!C:C,"&lt;=4/30/2022")/1000000000</f>
        <v>4.3044848484848474E-3</v>
      </c>
      <c r="G5" s="512">
        <f>SUMIFS('MAIN DATASET'!R:R,'MAIN DATASET'!B:B,'Aid over time'!B5,'MAIN DATASET'!C:C,"&gt;=5/1/2022",'MAIN DATASET'!C:C,"&lt;=5/31/2022")/1000000000</f>
        <v>0</v>
      </c>
      <c r="H5" s="512">
        <f>SUMIFS('MAIN DATASET'!R:R,'MAIN DATASET'!B:B,'Aid over time'!B5,'MAIN DATASET'!C:C,"&gt;=6/1/2022",'MAIN DATASET'!C:C,"&lt;=6/30/2022")/1000000000</f>
        <v>0</v>
      </c>
      <c r="I5" s="512">
        <f>SUMIFS('MAIN DATASET'!R:R,'MAIN DATASET'!B:B,'Aid over time'!B5,'MAIN DATASET'!C:C,"&gt;=7/1/2022",'MAIN DATASET'!C:C,"&lt;=7/31/2022")/1000000000</f>
        <v>0</v>
      </c>
      <c r="J5" s="513">
        <f t="shared" si="0"/>
        <v>4.3044848484848474E-3</v>
      </c>
      <c r="K5" s="512"/>
      <c r="L5" s="512"/>
      <c r="M5" s="512"/>
      <c r="N5" s="512"/>
      <c r="O5" s="512"/>
      <c r="Q5" s="517"/>
      <c r="T5" s="997"/>
      <c r="U5" s="997"/>
      <c r="V5" s="997"/>
      <c r="W5" s="997"/>
    </row>
    <row r="6" spans="1:23">
      <c r="B6" s="94" t="s">
        <v>350</v>
      </c>
      <c r="C6" s="513">
        <f>SUMIFS('MAIN DATASET'!R:R,'MAIN DATASET'!B:B,'Aid over time'!B6,'MAIN DATASET'!C:C,"&gt;=1/1/2022",'MAIN DATASET'!C:C,"&lt;=1/31/2022")/1000000000</f>
        <v>0.28814185445142226</v>
      </c>
      <c r="D6" s="94">
        <f>SUMIFS('MAIN DATASET'!R:R,'MAIN DATASET'!B:B,'Aid over time'!B6,'MAIN DATASET'!C:C,"&gt;=2/1/2022",'MAIN DATASET'!C:C,"&lt;=2/28/2022")/1000000000</f>
        <v>0.40391716369457403</v>
      </c>
      <c r="E6" s="94">
        <f>SUMIFS('MAIN DATASET'!R:R,'MAIN DATASET'!B:B,'Aid over time'!B6,'MAIN DATASET'!C:C,"&gt;=3/1/2022",'MAIN DATASET'!C:C,"&lt;=3/31/2022")/1000000000</f>
        <v>8.3492090686603751E-2</v>
      </c>
      <c r="F6" s="94">
        <f>SUMIFS('MAIN DATASET'!R:R,'MAIN DATASET'!B:B,'Aid over time'!B6,'MAIN DATASET'!C:C,"&gt;=4/1/2022",'MAIN DATASET'!C:C,"&lt;=4/30/2022")/1000000000</f>
        <v>1.2017037618519888</v>
      </c>
      <c r="G6" s="512">
        <f>SUMIFS('MAIN DATASET'!R:R,'MAIN DATASET'!B:B,'Aid over time'!B6,'MAIN DATASET'!C:C,"&gt;=5/1/2022",'MAIN DATASET'!C:C,"&lt;=5/31/2022")/1000000000</f>
        <v>0.22312523088289618</v>
      </c>
      <c r="H6" s="512">
        <f>SUMIFS('MAIN DATASET'!R:R,'MAIN DATASET'!B:B,'Aid over time'!B6,'MAIN DATASET'!C:C,"&gt;=6/1/2022",'MAIN DATASET'!C:C,"&lt;=6/30/2022")/1000000000</f>
        <v>0.40989291159684904</v>
      </c>
      <c r="I6" s="512">
        <f>SUMIFS('MAIN DATASET'!R:R,'MAIN DATASET'!B:B,'Aid over time'!B6,'MAIN DATASET'!C:C,"&gt;=7/1/2022",'MAIN DATASET'!C:C,"&lt;=7/31/2022")/1000000000</f>
        <v>0</v>
      </c>
      <c r="J6" s="513">
        <f t="shared" si="0"/>
        <v>2.6102730131643339</v>
      </c>
      <c r="K6" s="512"/>
      <c r="L6" s="512"/>
      <c r="M6" s="512"/>
      <c r="N6" s="512"/>
      <c r="O6" s="512"/>
      <c r="Q6" s="517"/>
      <c r="T6" s="997"/>
      <c r="U6" s="997"/>
      <c r="V6" s="997"/>
      <c r="W6" s="997"/>
    </row>
    <row r="7" spans="1:23">
      <c r="B7" s="94" t="s">
        <v>464</v>
      </c>
      <c r="C7" s="513">
        <f>SUMIFS('MAIN DATASET'!R:R,'MAIN DATASET'!B:B,'Aid over time'!B7,'MAIN DATASET'!C:C,"&gt;=1/1/2022",'MAIN DATASET'!C:C,"&lt;=1/31/2022")/1000000000</f>
        <v>0</v>
      </c>
      <c r="D7" s="94">
        <f>SUMIFS('MAIN DATASET'!R:R,'MAIN DATASET'!B:B,'Aid over time'!B7,'MAIN DATASET'!C:C,"&gt;=2/1/2022",'MAIN DATASET'!C:C,"&lt;=2/28/2022")/1000000000</f>
        <v>1.7686532456315192E-2</v>
      </c>
      <c r="E7" s="94">
        <f>SUMIFS('MAIN DATASET'!R:R,'MAIN DATASET'!B:B,'Aid over time'!B7,'MAIN DATASET'!C:C,"&gt;=3/1/2022",'MAIN DATASET'!C:C,"&lt;=3/31/2022")/1000000000</f>
        <v>0</v>
      </c>
      <c r="F7" s="94">
        <f>SUMIFS('MAIN DATASET'!R:R,'MAIN DATASET'!B:B,'Aid over time'!B7,'MAIN DATASET'!C:C,"&gt;=4/1/2022",'MAIN DATASET'!C:C,"&lt;=4/30/2022")/1000000000</f>
        <v>2.0155471397249351E-4</v>
      </c>
      <c r="G7" s="512">
        <f>SUMIFS('MAIN DATASET'!R:R,'MAIN DATASET'!B:B,'Aid over time'!B7,'MAIN DATASET'!C:C,"&gt;=5/1/2022",'MAIN DATASET'!C:C,"&lt;=5/31/2022")/1000000000</f>
        <v>5.0000000000000001E-3</v>
      </c>
      <c r="H7" s="512">
        <f>SUMIFS('MAIN DATASET'!R:R,'MAIN DATASET'!B:B,'Aid over time'!B7,'MAIN DATASET'!C:C,"&gt;=6/1/2022",'MAIN DATASET'!C:C,"&lt;=6/30/2022")/1000000000</f>
        <v>3.3000000000000003E-5</v>
      </c>
      <c r="I7" s="512">
        <f>SUMIFS('MAIN DATASET'!R:R,'MAIN DATASET'!B:B,'Aid over time'!B7,'MAIN DATASET'!C:C,"&gt;=7/1/2022",'MAIN DATASET'!C:C,"&lt;=7/31/2022")/1000000000</f>
        <v>0</v>
      </c>
      <c r="J7" s="513">
        <f t="shared" si="0"/>
        <v>2.2921087170287683E-2</v>
      </c>
      <c r="K7" s="512"/>
      <c r="L7" s="512"/>
      <c r="M7" s="512"/>
      <c r="N7" s="512"/>
      <c r="O7" s="512"/>
      <c r="Q7" s="517"/>
      <c r="T7" s="997"/>
      <c r="U7" s="997"/>
      <c r="V7" s="997"/>
      <c r="W7" s="997"/>
    </row>
    <row r="8" spans="1:23" ht="15.75" customHeight="1">
      <c r="B8" s="94" t="s">
        <v>490</v>
      </c>
      <c r="C8" s="513">
        <f>SUMIFS('MAIN DATASET'!R:R,'MAIN DATASET'!B:B,'Aid over time'!B8,'MAIN DATASET'!C:C,"&gt;=1/1/2022",'MAIN DATASET'!C:C,"&lt;=1/31/2022")/1000000000</f>
        <v>0</v>
      </c>
      <c r="D8" s="94">
        <f>SUMIFS('MAIN DATASET'!R:R,'MAIN DATASET'!B:B,'Aid over time'!B8,'MAIN DATASET'!C:C,"&gt;=2/1/2022",'MAIN DATASET'!C:C,"&lt;=2/28/2022")/1000000000</f>
        <v>0</v>
      </c>
      <c r="E8" s="94">
        <f>SUMIFS('MAIN DATASET'!R:R,'MAIN DATASET'!B:B,'Aid over time'!B8,'MAIN DATASET'!C:C,"&gt;=3/1/2022",'MAIN DATASET'!C:C,"&lt;=3/31/2022")/1000000000</f>
        <v>1.8939393939393938E-3</v>
      </c>
      <c r="F8" s="94">
        <f>SUMIFS('MAIN DATASET'!R:R,'MAIN DATASET'!B:B,'Aid over time'!B8,'MAIN DATASET'!C:C,"&gt;=4/1/2022",'MAIN DATASET'!C:C,"&lt;=4/30/2022")/1000000000</f>
        <v>0</v>
      </c>
      <c r="G8" s="512">
        <f>SUMIFS('MAIN DATASET'!R:R,'MAIN DATASET'!B:B,'Aid over time'!B8,'MAIN DATASET'!C:C,"&gt;=5/1/2022",'MAIN DATASET'!C:C,"&lt;=5/31/2022")/1000000000</f>
        <v>0</v>
      </c>
      <c r="H8" s="512">
        <f>SUMIFS('MAIN DATASET'!R:R,'MAIN DATASET'!B:B,'Aid over time'!B8,'MAIN DATASET'!C:C,"&gt;=6/1/2022",'MAIN DATASET'!C:C,"&lt;=6/30/2022")/1000000000</f>
        <v>5.0000000000000001E-4</v>
      </c>
      <c r="I8" s="512">
        <f>SUMIFS('MAIN DATASET'!R:R,'MAIN DATASET'!B:B,'Aid over time'!B8,'MAIN DATASET'!C:C,"&gt;=7/1/2022",'MAIN DATASET'!C:C,"&lt;=7/31/2022")/1000000000</f>
        <v>0</v>
      </c>
      <c r="J8" s="513">
        <f t="shared" si="0"/>
        <v>2.3939393939393936E-3</v>
      </c>
      <c r="K8" s="512"/>
      <c r="L8" s="512"/>
      <c r="M8" s="512"/>
      <c r="N8" s="512"/>
      <c r="O8" s="512"/>
      <c r="Q8" s="517"/>
    </row>
    <row r="9" spans="1:23">
      <c r="B9" s="94" t="s">
        <v>503</v>
      </c>
      <c r="C9" s="513">
        <f>SUMIFS('MAIN DATASET'!R:R,'MAIN DATASET'!B:B,'Aid over time'!B9,'MAIN DATASET'!C:C,"&gt;=1/1/2022",'MAIN DATASET'!C:C,"&lt;=1/31/2022")/1000000000</f>
        <v>0</v>
      </c>
      <c r="D9" s="94">
        <f>SUMIFS('MAIN DATASET'!R:R,'MAIN DATASET'!B:B,'Aid over time'!B9,'MAIN DATASET'!C:C,"&gt;=2/1/2022",'MAIN DATASET'!C:C,"&lt;=2/28/2022")/1000000000</f>
        <v>3.7405709720480559E-2</v>
      </c>
      <c r="E9" s="94">
        <f>SUMIFS('MAIN DATASET'!R:R,'MAIN DATASET'!B:B,'Aid over time'!B9,'MAIN DATASET'!C:C,"&gt;=3/1/2022",'MAIN DATASET'!C:C,"&lt;=3/31/2022")/1000000000</f>
        <v>3.6306407653350782E-2</v>
      </c>
      <c r="F9" s="94">
        <f>SUMIFS('MAIN DATASET'!R:R,'MAIN DATASET'!B:B,'Aid over time'!B9,'MAIN DATASET'!C:C,"&gt;=4/1/2022",'MAIN DATASET'!C:C,"&lt;=4/30/2022")/1000000000</f>
        <v>1.5558103817389948E-2</v>
      </c>
      <c r="G9" s="512">
        <f>SUMIFS('MAIN DATASET'!R:R,'MAIN DATASET'!B:B,'Aid over time'!B9,'MAIN DATASET'!C:C,"&gt;=5/1/2022",'MAIN DATASET'!C:C,"&lt;=5/31/2022")/1000000000</f>
        <v>0.12547001812959904</v>
      </c>
      <c r="H9" s="512">
        <f>SUMIFS('MAIN DATASET'!R:R,'MAIN DATASET'!B:B,'Aid over time'!B9,'MAIN DATASET'!C:C,"&gt;=6/1/2022",'MAIN DATASET'!C:C,"&lt;=6/30/2022")/1000000000</f>
        <v>6.8363325623044077E-2</v>
      </c>
      <c r="I9" s="512">
        <f>SUMIFS('MAIN DATASET'!R:R,'MAIN DATASET'!B:B,'Aid over time'!B9,'MAIN DATASET'!C:C,"&gt;=7/1/2022",'MAIN DATASET'!C:C,"&lt;=7/31/2022")/1000000000</f>
        <v>0</v>
      </c>
      <c r="J9" s="513">
        <f t="shared" si="0"/>
        <v>0.28310356494386441</v>
      </c>
      <c r="K9" s="512"/>
      <c r="L9" s="512"/>
      <c r="M9" s="512"/>
      <c r="N9" s="512"/>
      <c r="O9" s="512"/>
      <c r="Q9" s="517"/>
    </row>
    <row r="10" spans="1:23">
      <c r="B10" s="94" t="s">
        <v>618</v>
      </c>
      <c r="C10" s="513">
        <f>SUMIFS('MAIN DATASET'!R:R,'MAIN DATASET'!B:B,'Aid over time'!B10,'MAIN DATASET'!C:C,"&gt;=1/1/2022",'MAIN DATASET'!C:C,"&lt;=1/31/2022")/1000000000</f>
        <v>0</v>
      </c>
      <c r="D10" s="94">
        <f>SUMIFS('MAIN DATASET'!R:R,'MAIN DATASET'!B:B,'Aid over time'!B10,'MAIN DATASET'!C:C,"&gt;=2/1/2022",'MAIN DATASET'!C:C,"&lt;=2/28/2022")/1000000000</f>
        <v>0</v>
      </c>
      <c r="E10" s="94">
        <f>SUMIFS('MAIN DATASET'!R:R,'MAIN DATASET'!B:B,'Aid over time'!B10,'MAIN DATASET'!C:C,"&gt;=3/1/2022",'MAIN DATASET'!C:C,"&lt;=3/31/2022")/1000000000</f>
        <v>2.6721152812130337E-2</v>
      </c>
      <c r="F10" s="94">
        <f>SUMIFS('MAIN DATASET'!R:R,'MAIN DATASET'!B:B,'Aid over time'!B10,'MAIN DATASET'!C:C,"&gt;=4/1/2022",'MAIN DATASET'!C:C,"&lt;=4/30/2022")/1000000000</f>
        <v>0.13442305624260673</v>
      </c>
      <c r="G10" s="512">
        <f>SUMIFS('MAIN DATASET'!R:R,'MAIN DATASET'!B:B,'Aid over time'!B10,'MAIN DATASET'!C:C,"&gt;=5/1/2022",'MAIN DATASET'!C:C,"&lt;=5/31/2022")/1000000000</f>
        <v>0</v>
      </c>
      <c r="H10" s="512">
        <f>SUMIFS('MAIN DATASET'!R:R,'MAIN DATASET'!B:B,'Aid over time'!B10,'MAIN DATASET'!C:C,"&gt;=6/1/2022",'MAIN DATASET'!C:C,"&lt;=6/30/2022")/1000000000</f>
        <v>0</v>
      </c>
      <c r="I10" s="512">
        <f>SUMIFS('MAIN DATASET'!R:R,'MAIN DATASET'!B:B,'Aid over time'!B10,'MAIN DATASET'!C:C,"&gt;=7/1/2022",'MAIN DATASET'!C:C,"&lt;=7/31/2022")/1000000000</f>
        <v>0</v>
      </c>
      <c r="J10" s="513">
        <f t="shared" si="0"/>
        <v>0.16114420905473706</v>
      </c>
      <c r="K10" s="512"/>
      <c r="L10" s="512"/>
      <c r="M10" s="512"/>
      <c r="N10" s="512"/>
      <c r="O10" s="512"/>
      <c r="Q10" s="517"/>
    </row>
    <row r="11" spans="1:23">
      <c r="B11" s="94" t="s">
        <v>666</v>
      </c>
      <c r="C11" s="513">
        <f>SUMIFS('MAIN DATASET'!R:R,'MAIN DATASET'!B:B,'Aid over time'!B11,'MAIN DATASET'!C:C,"&gt;=1/1/2022",'MAIN DATASET'!C:C,"&lt;=1/31/2022")/1000000000</f>
        <v>0</v>
      </c>
      <c r="D11" s="94">
        <f>SUMIFS('MAIN DATASET'!R:R,'MAIN DATASET'!B:B,'Aid over time'!B11,'MAIN DATASET'!C:C,"&gt;=2/1/2022",'MAIN DATASET'!C:C,"&lt;=2/28/2022")/1000000000</f>
        <v>0</v>
      </c>
      <c r="E11" s="94">
        <f>SUMIFS('MAIN DATASET'!R:R,'MAIN DATASET'!B:B,'Aid over time'!B11,'MAIN DATASET'!C:C,"&gt;=3/1/2022",'MAIN DATASET'!C:C,"&lt;=3/31/2022")/1000000000</f>
        <v>0</v>
      </c>
      <c r="F11" s="94">
        <f>SUMIFS('MAIN DATASET'!R:R,'MAIN DATASET'!B:B,'Aid over time'!B11,'MAIN DATASET'!C:C,"&gt;=4/1/2022",'MAIN DATASET'!C:C,"&lt;=4/30/2022")/1000000000</f>
        <v>5.0000000000000001E-3</v>
      </c>
      <c r="G11" s="512">
        <f>SUMIFS('MAIN DATASET'!R:R,'MAIN DATASET'!B:B,'Aid over time'!B11,'MAIN DATASET'!C:C,"&gt;=5/1/2022",'MAIN DATASET'!C:C,"&lt;=5/31/2022")/1000000000</f>
        <v>2.8999999999999998E-3</v>
      </c>
      <c r="H11" s="512">
        <f>SUMIFS('MAIN DATASET'!R:R,'MAIN DATASET'!B:B,'Aid over time'!B11,'MAIN DATASET'!C:C,"&gt;=6/1/2022",'MAIN DATASET'!C:C,"&lt;=6/30/2022")/1000000000</f>
        <v>0</v>
      </c>
      <c r="I11" s="512">
        <f>SUMIFS('MAIN DATASET'!R:R,'MAIN DATASET'!B:B,'Aid over time'!B11,'MAIN DATASET'!C:C,"&gt;=7/1/2022",'MAIN DATASET'!C:C,"&lt;=7/31/2022")/1000000000</f>
        <v>0</v>
      </c>
      <c r="J11" s="513">
        <f t="shared" si="0"/>
        <v>7.9000000000000008E-3</v>
      </c>
      <c r="K11" s="512"/>
      <c r="L11" s="512"/>
      <c r="M11" s="512"/>
      <c r="N11" s="512"/>
      <c r="O11" s="512"/>
      <c r="Q11" s="517"/>
    </row>
    <row r="12" spans="1:23">
      <c r="B12" s="94" t="s">
        <v>2015</v>
      </c>
      <c r="C12" s="513">
        <f>SUMIFS('MAIN DATASET'!R:R,'MAIN DATASET'!B:B,'Aid over time'!B12,'MAIN DATASET'!C:C,"&gt;=1/1/2022",'MAIN DATASET'!C:C,"&lt;=1/31/2022")/1000000000</f>
        <v>0</v>
      </c>
      <c r="D12" s="94">
        <f>SUMIFS('MAIN DATASET'!R:R,'MAIN DATASET'!B:B,'Aid over time'!B12,'MAIN DATASET'!C:C,"&gt;=2/1/2022",'MAIN DATASET'!C:C,"&lt;=2/28/2022")/1000000000</f>
        <v>1.2</v>
      </c>
      <c r="E12" s="94">
        <f>SUMIFS('MAIN DATASET'!R:R,'MAIN DATASET'!B:B,'Aid over time'!B12,'MAIN DATASET'!C:C,"&gt;=3/1/2022",'MAIN DATASET'!C:C,"&lt;=3/31/2022")/1000000000</f>
        <v>0.41499999999999998</v>
      </c>
      <c r="F12" s="94">
        <f>SUMIFS('MAIN DATASET'!R:R,'MAIN DATASET'!B:B,'Aid over time'!B12,'MAIN DATASET'!C:C,"&gt;=4/1/2022",'MAIN DATASET'!C:C,"&lt;=4/30/2022")/1000000000</f>
        <v>0.72</v>
      </c>
      <c r="G12" s="512">
        <f>SUMIFS('MAIN DATASET'!R:R,'MAIN DATASET'!B:B,'Aid over time'!B12,'MAIN DATASET'!C:C,"&gt;=5/1/2022",'MAIN DATASET'!C:C,"&lt;=5/31/2022")/1000000000</f>
        <v>9.1999999999999993</v>
      </c>
      <c r="H12" s="512">
        <f>SUMIFS('MAIN DATASET'!R:R,'MAIN DATASET'!B:B,'Aid over time'!B12,'MAIN DATASET'!C:C,"&gt;=6/1/2022",'MAIN DATASET'!C:C,"&lt;=6/30/2022")/1000000000</f>
        <v>0.20499999999999999</v>
      </c>
      <c r="I12" s="512">
        <f>SUMIFS('MAIN DATASET'!R:R,'MAIN DATASET'!B:B,'Aid over time'!B12,'MAIN DATASET'!C:C,"&gt;=7/1/2022",'MAIN DATASET'!C:C,"&lt;=7/31/2022")/1000000000</f>
        <v>0</v>
      </c>
      <c r="J12" s="513">
        <f t="shared" si="0"/>
        <v>11.74</v>
      </c>
      <c r="K12" s="512"/>
      <c r="L12" s="512"/>
      <c r="M12" s="512"/>
      <c r="N12" s="512"/>
      <c r="O12" s="512"/>
      <c r="Q12" s="517"/>
    </row>
    <row r="13" spans="1:23">
      <c r="B13" s="94" t="s">
        <v>701</v>
      </c>
      <c r="C13" s="513">
        <f>SUMIFS('MAIN DATASET'!R:R,'MAIN DATASET'!B:B,'Aid over time'!B13,'MAIN DATASET'!C:C,"&gt;=1/1/2022",'MAIN DATASET'!C:C,"&lt;=1/31/2022")/1000000000</f>
        <v>0</v>
      </c>
      <c r="D13" s="94">
        <f>SUMIFS('MAIN DATASET'!R:R,'MAIN DATASET'!B:B,'Aid over time'!B13,'MAIN DATASET'!C:C,"&gt;=2/1/2022",'MAIN DATASET'!C:C,"&lt;=2/28/2022")/1000000000</f>
        <v>3.1300000000000001E-2</v>
      </c>
      <c r="E13" s="94">
        <f>SUMIFS('MAIN DATASET'!R:R,'MAIN DATASET'!B:B,'Aid over time'!B13,'MAIN DATASET'!C:C,"&gt;=3/1/2022",'MAIN DATASET'!C:C,"&lt;=3/31/2022")/1000000000</f>
        <v>2.6376041666666666E-3</v>
      </c>
      <c r="F13" s="94">
        <f>SUMIFS('MAIN DATASET'!R:R,'MAIN DATASET'!B:B,'Aid over time'!B13,'MAIN DATASET'!C:C,"&gt;=4/1/2022",'MAIN DATASET'!C:C,"&lt;=4/30/2022")/1000000000</f>
        <v>7.5833333333333322E-2</v>
      </c>
      <c r="G13" s="512">
        <f>SUMIFS('MAIN DATASET'!R:R,'MAIN DATASET'!B:B,'Aid over time'!B13,'MAIN DATASET'!C:C,"&gt;=5/1/2022",'MAIN DATASET'!C:C,"&lt;=5/31/2022")/1000000000</f>
        <v>0</v>
      </c>
      <c r="H13" s="512">
        <f>SUMIFS('MAIN DATASET'!R:R,'MAIN DATASET'!B:B,'Aid over time'!B13,'MAIN DATASET'!C:C,"&gt;=6/1/2022",'MAIN DATASET'!C:C,"&lt;=6/30/2022")/1000000000</f>
        <v>0</v>
      </c>
      <c r="I13" s="512">
        <f>SUMIFS('MAIN DATASET'!R:R,'MAIN DATASET'!B:B,'Aid over time'!B13,'MAIN DATASET'!C:C,"&gt;=7/1/2022",'MAIN DATASET'!C:C,"&lt;=7/31/2022")/1000000000</f>
        <v>0</v>
      </c>
      <c r="J13" s="513">
        <f t="shared" si="0"/>
        <v>0.1097709375</v>
      </c>
      <c r="K13" s="512"/>
      <c r="L13" s="512"/>
      <c r="M13" s="512"/>
      <c r="N13" s="512"/>
      <c r="O13" s="512"/>
      <c r="Q13" s="517"/>
    </row>
    <row r="14" spans="1:23">
      <c r="B14" s="94" t="s">
        <v>763</v>
      </c>
      <c r="C14" s="513">
        <f>SUMIFS('MAIN DATASET'!R:R,'MAIN DATASET'!B:B,'Aid over time'!B14,'MAIN DATASET'!C:C,"&gt;=1/1/2022",'MAIN DATASET'!C:C,"&lt;=1/31/2022")/1000000000</f>
        <v>0</v>
      </c>
      <c r="D14" s="94">
        <f>SUMIFS('MAIN DATASET'!R:R,'MAIN DATASET'!B:B,'Aid over time'!B14,'MAIN DATASET'!C:C,"&gt;=2/1/2022",'MAIN DATASET'!C:C,"&lt;=2/28/2022")/1000000000</f>
        <v>1.5</v>
      </c>
      <c r="E14" s="94">
        <f>SUMIFS('MAIN DATASET'!R:R,'MAIN DATASET'!B:B,'Aid over time'!B14,'MAIN DATASET'!C:C,"&gt;=3/1/2022",'MAIN DATASET'!C:C,"&lt;=3/31/2022")/1000000000</f>
        <v>0.11506628787878788</v>
      </c>
      <c r="F14" s="94">
        <f>SUMIFS('MAIN DATASET'!R:R,'MAIN DATASET'!B:B,'Aid over time'!B14,'MAIN DATASET'!C:C,"&gt;=4/1/2022",'MAIN DATASET'!C:C,"&lt;=4/30/2022")/1000000000</f>
        <v>6.276515151515151E-2</v>
      </c>
      <c r="G14" s="512">
        <f>SUMIFS('MAIN DATASET'!R:R,'MAIN DATASET'!B:B,'Aid over time'!B14,'MAIN DATASET'!C:C,"&gt;=5/1/2022",'MAIN DATASET'!C:C,"&lt;=5/31/2022")/1000000000</f>
        <v>0.30249999999999999</v>
      </c>
      <c r="H14" s="512">
        <f>SUMIFS('MAIN DATASET'!R:R,'MAIN DATASET'!B:B,'Aid over time'!B14,'MAIN DATASET'!C:C,"&gt;=6/1/2022",'MAIN DATASET'!C:C,"&lt;=6/30/2022")/1000000000</f>
        <v>0</v>
      </c>
      <c r="I14" s="512">
        <f>SUMIFS('MAIN DATASET'!R:R,'MAIN DATASET'!B:B,'Aid over time'!B14,'MAIN DATASET'!C:C,"&gt;=7/1/2022",'MAIN DATASET'!C:C,"&lt;=7/31/2022")/1000000000</f>
        <v>0</v>
      </c>
      <c r="J14" s="513">
        <f t="shared" si="0"/>
        <v>1.9803314393939393</v>
      </c>
      <c r="K14" s="512"/>
      <c r="L14" s="512"/>
      <c r="M14" s="512"/>
      <c r="N14" s="512"/>
      <c r="O14" s="512"/>
      <c r="Q14" s="517"/>
    </row>
    <row r="15" spans="1:23">
      <c r="B15" s="94" t="s">
        <v>840</v>
      </c>
      <c r="C15" s="513">
        <f>SUMIFS('MAIN DATASET'!R:R,'MAIN DATASET'!B:B,'Aid over time'!B15,'MAIN DATASET'!C:C,"&gt;=1/1/2022",'MAIN DATASET'!C:C,"&lt;=1/31/2022")/1000000000</f>
        <v>0</v>
      </c>
      <c r="D15" s="94">
        <f>SUMIFS('MAIN DATASET'!R:R,'MAIN DATASET'!B:B,'Aid over time'!B15,'MAIN DATASET'!C:C,"&gt;=2/1/2022",'MAIN DATASET'!C:C,"&lt;=2/28/2022")/1000000000</f>
        <v>0</v>
      </c>
      <c r="E15" s="94">
        <f>SUMIFS('MAIN DATASET'!R:R,'MAIN DATASET'!B:B,'Aid over time'!B15,'MAIN DATASET'!C:C,"&gt;=3/1/2022",'MAIN DATASET'!C:C,"&lt;=3/31/2022")/1000000000</f>
        <v>0</v>
      </c>
      <c r="F15" s="94">
        <f>SUMIFS('MAIN DATASET'!R:R,'MAIN DATASET'!B:B,'Aid over time'!B15,'MAIN DATASET'!C:C,"&gt;=4/1/2022",'MAIN DATASET'!C:C,"&lt;=4/30/2022")/1000000000</f>
        <v>1.64</v>
      </c>
      <c r="G15" s="512">
        <f>SUMIFS('MAIN DATASET'!R:R,'MAIN DATASET'!B:B,'Aid over time'!B15,'MAIN DATASET'!C:C,"&gt;=5/1/2022",'MAIN DATASET'!C:C,"&lt;=5/31/2022")/1000000000</f>
        <v>1.2749999999999999</v>
      </c>
      <c r="H15" s="512">
        <f>SUMIFS('MAIN DATASET'!R:R,'MAIN DATASET'!B:B,'Aid over time'!B15,'MAIN DATASET'!C:C,"&gt;=6/1/2022",'MAIN DATASET'!C:C,"&lt;=6/30/2022")/1000000000</f>
        <v>0</v>
      </c>
      <c r="I15" s="512">
        <f>SUMIFS('MAIN DATASET'!R:R,'MAIN DATASET'!B:B,'Aid over time'!B15,'MAIN DATASET'!C:C,"&gt;=7/1/2022",'MAIN DATASET'!C:C,"&lt;=7/31/2022")/1000000000</f>
        <v>0.23952905719696968</v>
      </c>
      <c r="J15" s="513">
        <f t="shared" si="0"/>
        <v>3.1545290571969695</v>
      </c>
      <c r="K15" s="512"/>
      <c r="L15" s="512"/>
      <c r="M15" s="512"/>
      <c r="N15" s="512"/>
      <c r="O15" s="512"/>
      <c r="Q15" s="517"/>
    </row>
    <row r="16" spans="1:23">
      <c r="B16" s="94" t="s">
        <v>926</v>
      </c>
      <c r="C16" s="513">
        <f>SUMIFS('MAIN DATASET'!R:R,'MAIN DATASET'!B:B,'Aid over time'!B16,'MAIN DATASET'!C:C,"&gt;=1/1/2022",'MAIN DATASET'!C:C,"&lt;=1/31/2022")/1000000000</f>
        <v>0</v>
      </c>
      <c r="D16" s="94">
        <f>SUMIFS('MAIN DATASET'!R:R,'MAIN DATASET'!B:B,'Aid over time'!B16,'MAIN DATASET'!C:C,"&gt;=2/1/2022",'MAIN DATASET'!C:C,"&lt;=2/28/2022")/1000000000</f>
        <v>0</v>
      </c>
      <c r="E16" s="94">
        <f>SUMIFS('MAIN DATASET'!R:R,'MAIN DATASET'!B:B,'Aid over time'!B16,'MAIN DATASET'!C:C,"&gt;=3/1/2022",'MAIN DATASET'!C:C,"&lt;=3/31/2022")/1000000000</f>
        <v>0</v>
      </c>
      <c r="F16" s="94">
        <f>SUMIFS('MAIN DATASET'!R:R,'MAIN DATASET'!B:B,'Aid over time'!B16,'MAIN DATASET'!C:C,"&gt;=4/1/2022",'MAIN DATASET'!C:C,"&lt;=4/30/2022")/1000000000</f>
        <v>0</v>
      </c>
      <c r="G16" s="512">
        <f>SUMIFS('MAIN DATASET'!R:R,'MAIN DATASET'!B:B,'Aid over time'!B16,'MAIN DATASET'!C:C,"&gt;=5/1/2022",'MAIN DATASET'!C:C,"&lt;=5/31/2022")/1000000000</f>
        <v>0.23298521780303028</v>
      </c>
      <c r="H16" s="512">
        <f>SUMIFS('MAIN DATASET'!R:R,'MAIN DATASET'!B:B,'Aid over time'!B16,'MAIN DATASET'!C:C,"&gt;=6/1/2022",'MAIN DATASET'!C:C,"&lt;=6/30/2022")/1000000000</f>
        <v>0</v>
      </c>
      <c r="I16" s="512">
        <f>SUMIFS('MAIN DATASET'!R:R,'MAIN DATASET'!B:B,'Aid over time'!B16,'MAIN DATASET'!C:C,"&gt;=7/1/2022",'MAIN DATASET'!C:C,"&lt;=7/31/2022")/1000000000</f>
        <v>0</v>
      </c>
      <c r="J16" s="513">
        <f t="shared" si="0"/>
        <v>0.23298521780303028</v>
      </c>
      <c r="K16" s="512"/>
      <c r="L16" s="512"/>
      <c r="M16" s="512"/>
      <c r="N16" s="512"/>
      <c r="O16" s="512"/>
      <c r="Q16" s="517"/>
    </row>
    <row r="17" spans="2:17">
      <c r="B17" s="94" t="s">
        <v>963</v>
      </c>
      <c r="C17" s="513">
        <f>SUMIFS('MAIN DATASET'!R:R,'MAIN DATASET'!B:B,'Aid over time'!B17,'MAIN DATASET'!C:C,"&gt;=1/1/2022",'MAIN DATASET'!C:C,"&lt;=1/31/2022")/1000000000</f>
        <v>0</v>
      </c>
      <c r="D17" s="94">
        <f>SUMIFS('MAIN DATASET'!R:R,'MAIN DATASET'!B:B,'Aid over time'!B17,'MAIN DATASET'!C:C,"&gt;=2/1/2022",'MAIN DATASET'!C:C,"&lt;=2/28/2022")/1000000000</f>
        <v>1.7776515151515153E-4</v>
      </c>
      <c r="E17" s="94">
        <f>SUMIFS('MAIN DATASET'!R:R,'MAIN DATASET'!B:B,'Aid over time'!B17,'MAIN DATASET'!C:C,"&gt;=3/1/2022",'MAIN DATASET'!C:C,"&lt;=3/31/2022")/1000000000</f>
        <v>1.6630549816056038E-4</v>
      </c>
      <c r="F17" s="94">
        <f>SUMIFS('MAIN DATASET'!R:R,'MAIN DATASET'!B:B,'Aid over time'!B17,'MAIN DATASET'!C:C,"&gt;=4/1/2022",'MAIN DATASET'!C:C,"&lt;=4/30/2022")/1000000000</f>
        <v>0</v>
      </c>
      <c r="G17" s="512">
        <f>SUMIFS('MAIN DATASET'!R:R,'MAIN DATASET'!B:B,'Aid over time'!B17,'MAIN DATASET'!C:C,"&gt;=5/1/2022",'MAIN DATASET'!C:C,"&lt;=5/31/2022")/1000000000</f>
        <v>3.7660182432091918E-2</v>
      </c>
      <c r="H17" s="512">
        <f>SUMIFS('MAIN DATASET'!R:R,'MAIN DATASET'!B:B,'Aid over time'!B17,'MAIN DATASET'!C:C,"&gt;=6/1/2022",'MAIN DATASET'!C:C,"&lt;=6/30/2022")/1000000000</f>
        <v>0</v>
      </c>
      <c r="I17" s="512">
        <f>SUMIFS('MAIN DATASET'!R:R,'MAIN DATASET'!B:B,'Aid over time'!B17,'MAIN DATASET'!C:C,"&gt;=7/1/2022",'MAIN DATASET'!C:C,"&lt;=7/31/2022")/1000000000</f>
        <v>0</v>
      </c>
      <c r="J17" s="513">
        <f t="shared" si="0"/>
        <v>3.8004253081767629E-2</v>
      </c>
      <c r="K17" s="512"/>
      <c r="L17" s="512"/>
      <c r="M17" s="512"/>
      <c r="N17" s="512"/>
      <c r="O17" s="512"/>
      <c r="Q17" s="517"/>
    </row>
    <row r="18" spans="2:17">
      <c r="B18" s="94" t="s">
        <v>1006</v>
      </c>
      <c r="C18" s="513">
        <f>SUMIFS('MAIN DATASET'!R:R,'MAIN DATASET'!B:B,'Aid over time'!B18,'MAIN DATASET'!C:C,"&gt;=1/1/2022",'MAIN DATASET'!C:C,"&lt;=1/31/2022")/1000000000</f>
        <v>0</v>
      </c>
      <c r="D18" s="94">
        <f>SUMIFS('MAIN DATASET'!R:R,'MAIN DATASET'!B:B,'Aid over time'!B18,'MAIN DATASET'!C:C,"&gt;=2/1/2022",'MAIN DATASET'!C:C,"&lt;=2/28/2022")/1000000000</f>
        <v>0.01</v>
      </c>
      <c r="E18" s="94">
        <f>SUMIFS('MAIN DATASET'!R:R,'MAIN DATASET'!B:B,'Aid over time'!B18,'MAIN DATASET'!C:C,"&gt;=3/1/2022",'MAIN DATASET'!C:C,"&lt;=3/31/2022")/1000000000</f>
        <v>1.1631818181818181E-4</v>
      </c>
      <c r="F18" s="94">
        <f>SUMIFS('MAIN DATASET'!R:R,'MAIN DATASET'!B:B,'Aid over time'!B18,'MAIN DATASET'!C:C,"&gt;=4/1/2022",'MAIN DATASET'!C:C,"&lt;=4/30/2022")/1000000000</f>
        <v>5.2999999999999999E-2</v>
      </c>
      <c r="G18" s="512">
        <f>SUMIFS('MAIN DATASET'!R:R,'MAIN DATASET'!B:B,'Aid over time'!B18,'MAIN DATASET'!C:C,"&gt;=5/1/2022",'MAIN DATASET'!C:C,"&lt;=5/31/2022")/1000000000</f>
        <v>5.0000000000000001E-4</v>
      </c>
      <c r="H18" s="512">
        <f>SUMIFS('MAIN DATASET'!R:R,'MAIN DATASET'!B:B,'Aid over time'!B18,'MAIN DATASET'!C:C,"&gt;=6/1/2022",'MAIN DATASET'!C:C,"&lt;=6/30/2022")/1000000000</f>
        <v>0</v>
      </c>
      <c r="I18" s="512">
        <f>SUMIFS('MAIN DATASET'!R:R,'MAIN DATASET'!B:B,'Aid over time'!B18,'MAIN DATASET'!C:C,"&gt;=7/1/2022",'MAIN DATASET'!C:C,"&lt;=7/31/2022")/1000000000</f>
        <v>0</v>
      </c>
      <c r="J18" s="513">
        <f t="shared" si="0"/>
        <v>6.3616318181818177E-2</v>
      </c>
      <c r="K18" s="512"/>
      <c r="L18" s="512"/>
      <c r="M18" s="512"/>
      <c r="N18" s="512"/>
      <c r="O18" s="512"/>
      <c r="Q18" s="517"/>
    </row>
    <row r="19" spans="2:17">
      <c r="B19" s="94" t="s">
        <v>1036</v>
      </c>
      <c r="C19" s="513">
        <f>SUMIFS('MAIN DATASET'!R:R,'MAIN DATASET'!B:B,'Aid over time'!B19,'MAIN DATASET'!C:C,"&gt;=1/1/2022",'MAIN DATASET'!C:C,"&lt;=1/31/2022")/1000000000</f>
        <v>0</v>
      </c>
      <c r="D19" s="94">
        <f>SUMIFS('MAIN DATASET'!R:R,'MAIN DATASET'!B:B,'Aid over time'!B19,'MAIN DATASET'!C:C,"&gt;=2/1/2022",'MAIN DATASET'!C:C,"&lt;=2/28/2022")/1000000000</f>
        <v>0.26100000000000001</v>
      </c>
      <c r="E19" s="94">
        <f>SUMIFS('MAIN DATASET'!R:R,'MAIN DATASET'!B:B,'Aid over time'!B19,'MAIN DATASET'!C:C,"&gt;=3/1/2022",'MAIN DATASET'!C:C,"&lt;=3/31/2022")/1000000000</f>
        <v>5.1846448863636357E-3</v>
      </c>
      <c r="F19" s="94">
        <f>SUMIFS('MAIN DATASET'!R:R,'MAIN DATASET'!B:B,'Aid over time'!B19,'MAIN DATASET'!C:C,"&gt;=4/1/2022",'MAIN DATASET'!C:C,"&lt;=4/30/2022")/1000000000</f>
        <v>0.22452272727272729</v>
      </c>
      <c r="G19" s="512">
        <f>SUMIFS('MAIN DATASET'!R:R,'MAIN DATASET'!B:B,'Aid over time'!B19,'MAIN DATASET'!C:C,"&gt;=5/1/2022",'MAIN DATASET'!C:C,"&lt;=5/31/2022")/1000000000</f>
        <v>0</v>
      </c>
      <c r="H19" s="512">
        <f>SUMIFS('MAIN DATASET'!R:R,'MAIN DATASET'!B:B,'Aid over time'!B19,'MAIN DATASET'!C:C,"&gt;=6/1/2022",'MAIN DATASET'!C:C,"&lt;=6/30/2022")/1000000000</f>
        <v>0</v>
      </c>
      <c r="I19" s="512">
        <f>SUMIFS('MAIN DATASET'!R:R,'MAIN DATASET'!B:B,'Aid over time'!B19,'MAIN DATASET'!C:C,"&gt;=7/1/2022",'MAIN DATASET'!C:C,"&lt;=7/31/2022")/1000000000</f>
        <v>0</v>
      </c>
      <c r="J19" s="513">
        <f t="shared" si="0"/>
        <v>0.49070737215909088</v>
      </c>
      <c r="K19" s="512"/>
      <c r="L19" s="512"/>
      <c r="M19" s="512"/>
      <c r="N19" s="512"/>
      <c r="O19" s="512"/>
      <c r="Q19" s="517"/>
    </row>
    <row r="20" spans="2:17">
      <c r="B20" s="126" t="s">
        <v>1080</v>
      </c>
      <c r="C20" s="513">
        <f>SUMIFS('MAIN DATASET'!R:R,'MAIN DATASET'!B:B,'Aid over time'!B20,'MAIN DATASET'!C:C,"&gt;=1/1/2022",'MAIN DATASET'!C:C,"&lt;=1/31/2022")/1000000000</f>
        <v>0</v>
      </c>
      <c r="D20" s="94">
        <f>SUMIFS('MAIN DATASET'!R:R,'MAIN DATASET'!B:B,'Aid over time'!B20,'MAIN DATASET'!C:C,"&gt;=2/1/2022",'MAIN DATASET'!C:C,"&lt;=2/28/2022")/1000000000</f>
        <v>0</v>
      </c>
      <c r="E20" s="94">
        <f>SUMIFS('MAIN DATASET'!R:R,'MAIN DATASET'!B:B,'Aid over time'!B20,'MAIN DATASET'!C:C,"&gt;=3/1/2022",'MAIN DATASET'!C:C,"&lt;=3/31/2022")/1000000000</f>
        <v>9.4696969696969682E-2</v>
      </c>
      <c r="F20" s="94">
        <f>SUMIFS('MAIN DATASET'!R:R,'MAIN DATASET'!B:B,'Aid over time'!B20,'MAIN DATASET'!C:C,"&gt;=4/1/2022",'MAIN DATASET'!C:C,"&lt;=4/30/2022")/1000000000</f>
        <v>0.19157196969696969</v>
      </c>
      <c r="G20" s="512">
        <f>SUMIFS('MAIN DATASET'!R:R,'MAIN DATASET'!B:B,'Aid over time'!B20,'MAIN DATASET'!C:C,"&gt;=5/1/2022",'MAIN DATASET'!C:C,"&lt;=5/31/2022")/1000000000</f>
        <v>0.28566287878787877</v>
      </c>
      <c r="H20" s="512">
        <f>SUMIFS('MAIN DATASET'!R:R,'MAIN DATASET'!B:B,'Aid over time'!B20,'MAIN DATASET'!C:C,"&gt;=6/1/2022",'MAIN DATASET'!C:C,"&lt;=6/30/2022")/1000000000</f>
        <v>9.4696969696969682E-2</v>
      </c>
      <c r="I20" s="512">
        <f>SUMIFS('MAIN DATASET'!R:R,'MAIN DATASET'!B:B,'Aid over time'!B20,'MAIN DATASET'!C:C,"&gt;=7/1/2022",'MAIN DATASET'!C:C,"&lt;=7/31/2022")/1000000000</f>
        <v>0</v>
      </c>
      <c r="J20" s="513">
        <f t="shared" si="0"/>
        <v>0.66662878787878788</v>
      </c>
      <c r="K20" s="512"/>
      <c r="L20" s="512"/>
      <c r="M20" s="512"/>
      <c r="N20" s="512"/>
      <c r="O20" s="512"/>
      <c r="Q20" s="517"/>
    </row>
    <row r="21" spans="2:17">
      <c r="B21" s="94" t="s">
        <v>1119</v>
      </c>
      <c r="C21" s="513">
        <f>SUMIFS('MAIN DATASET'!R:R,'MAIN DATASET'!B:B,'Aid over time'!B21,'MAIN DATASET'!C:C,"&gt;=1/1/2022",'MAIN DATASET'!C:C,"&lt;=1/31/2022")/1000000000</f>
        <v>0</v>
      </c>
      <c r="D21" s="94">
        <f>SUMIFS('MAIN DATASET'!R:R,'MAIN DATASET'!B:B,'Aid over time'!B21,'MAIN DATASET'!C:C,"&gt;=2/1/2022",'MAIN DATASET'!C:C,"&lt;=2/28/2022")/1000000000</f>
        <v>0</v>
      </c>
      <c r="E21" s="94">
        <f>SUMIFS('MAIN DATASET'!R:R,'MAIN DATASET'!B:B,'Aid over time'!B21,'MAIN DATASET'!C:C,"&gt;=3/1/2022",'MAIN DATASET'!C:C,"&lt;=3/31/2022")/1000000000</f>
        <v>6.3674170000000002E-3</v>
      </c>
      <c r="F21" s="94">
        <f>SUMIFS('MAIN DATASET'!R:R,'MAIN DATASET'!B:B,'Aid over time'!B21,'MAIN DATASET'!C:C,"&gt;=4/1/2022",'MAIN DATASET'!C:C,"&lt;=4/30/2022")/1000000000</f>
        <v>0</v>
      </c>
      <c r="G21" s="512">
        <f>SUMIFS('MAIN DATASET'!R:R,'MAIN DATASET'!B:B,'Aid over time'!B21,'MAIN DATASET'!C:C,"&gt;=5/1/2022",'MAIN DATASET'!C:C,"&lt;=5/31/2022")/1000000000</f>
        <v>0.01</v>
      </c>
      <c r="H21" s="512">
        <f>SUMIFS('MAIN DATASET'!R:R,'MAIN DATASET'!B:B,'Aid over time'!B21,'MAIN DATASET'!C:C,"&gt;=6/1/2022",'MAIN DATASET'!C:C,"&lt;=6/30/2022")/1000000000</f>
        <v>0</v>
      </c>
      <c r="I21" s="512">
        <f>SUMIFS('MAIN DATASET'!R:R,'MAIN DATASET'!B:B,'Aid over time'!B21,'MAIN DATASET'!C:C,"&gt;=7/1/2022",'MAIN DATASET'!C:C,"&lt;=7/31/2022")/1000000000</f>
        <v>0</v>
      </c>
      <c r="J21" s="513">
        <f t="shared" si="0"/>
        <v>1.6367417000000002E-2</v>
      </c>
      <c r="K21" s="512"/>
      <c r="L21" s="512"/>
      <c r="M21" s="512"/>
      <c r="N21" s="512"/>
      <c r="O21" s="512"/>
      <c r="Q21" s="517"/>
    </row>
    <row r="22" spans="2:17">
      <c r="B22" s="94" t="s">
        <v>1147</v>
      </c>
      <c r="C22" s="513">
        <f>SUMIFS('MAIN DATASET'!R:R,'MAIN DATASET'!B:B,'Aid over time'!B22,'MAIN DATASET'!C:C,"&gt;=1/1/2022",'MAIN DATASET'!C:C,"&lt;=1/31/2022")/1000000000</f>
        <v>0</v>
      </c>
      <c r="D22" s="94">
        <f>SUMIFS('MAIN DATASET'!R:R,'MAIN DATASET'!B:B,'Aid over time'!B22,'MAIN DATASET'!C:C,"&gt;=2/1/2022",'MAIN DATASET'!C:C,"&lt;=2/28/2022")/1000000000</f>
        <v>5.7999999999999996E-3</v>
      </c>
      <c r="E22" s="94">
        <f>SUMIFS('MAIN DATASET'!R:R,'MAIN DATASET'!B:B,'Aid over time'!B22,'MAIN DATASET'!C:C,"&gt;=3/1/2022",'MAIN DATASET'!C:C,"&lt;=3/31/2022")/1000000000</f>
        <v>1.4999999999999999E-2</v>
      </c>
      <c r="F22" s="94">
        <f>SUMIFS('MAIN DATASET'!R:R,'MAIN DATASET'!B:B,'Aid over time'!B22,'MAIN DATASET'!C:C,"&gt;=4/1/2022",'MAIN DATASET'!C:C,"&lt;=4/30/2022")/1000000000</f>
        <v>0</v>
      </c>
      <c r="G22" s="512">
        <f>SUMIFS('MAIN DATASET'!R:R,'MAIN DATASET'!B:B,'Aid over time'!B22,'MAIN DATASET'!C:C,"&gt;=5/1/2022",'MAIN DATASET'!C:C,"&lt;=5/31/2022")/1000000000</f>
        <v>1.7500000000000002E-2</v>
      </c>
      <c r="H22" s="512">
        <f>SUMIFS('MAIN DATASET'!R:R,'MAIN DATASET'!B:B,'Aid over time'!B22,'MAIN DATASET'!C:C,"&gt;=6/1/2022",'MAIN DATASET'!C:C,"&lt;=6/30/2022")/1000000000</f>
        <v>0</v>
      </c>
      <c r="I22" s="512">
        <f>SUMIFS('MAIN DATASET'!R:R,'MAIN DATASET'!B:B,'Aid over time'!B22,'MAIN DATASET'!C:C,"&gt;=7/1/2022",'MAIN DATASET'!C:C,"&lt;=7/31/2022")/1000000000</f>
        <v>0</v>
      </c>
      <c r="J22" s="513">
        <f t="shared" si="0"/>
        <v>3.8300000000000001E-2</v>
      </c>
      <c r="K22" s="512"/>
      <c r="L22" s="512"/>
      <c r="M22" s="512"/>
      <c r="N22" s="512"/>
      <c r="O22" s="512"/>
      <c r="Q22" s="517"/>
    </row>
    <row r="23" spans="2:17">
      <c r="B23" s="94" t="s">
        <v>1187</v>
      </c>
      <c r="C23" s="513">
        <f>SUMIFS('MAIN DATASET'!R:R,'MAIN DATASET'!B:B,'Aid over time'!B23,'MAIN DATASET'!C:C,"&gt;=1/1/2022",'MAIN DATASET'!C:C,"&lt;=1/31/2022")/1000000000</f>
        <v>0</v>
      </c>
      <c r="D23" s="94">
        <f>SUMIFS('MAIN DATASET'!R:R,'MAIN DATASET'!B:B,'Aid over time'!B23,'MAIN DATASET'!C:C,"&gt;=2/1/2022",'MAIN DATASET'!C:C,"&lt;=2/28/2022")/1000000000</f>
        <v>0.05</v>
      </c>
      <c r="E23" s="94">
        <f>SUMIFS('MAIN DATASET'!R:R,'MAIN DATASET'!B:B,'Aid over time'!B23,'MAIN DATASET'!C:C,"&gt;=3/1/2022",'MAIN DATASET'!C:C,"&lt;=3/31/2022")/1000000000</f>
        <v>0</v>
      </c>
      <c r="F23" s="94">
        <f>SUMIFS('MAIN DATASET'!R:R,'MAIN DATASET'!B:B,'Aid over time'!B23,'MAIN DATASET'!C:C,"&gt;=4/1/2022",'MAIN DATASET'!C:C,"&lt;=4/30/2022")/1000000000</f>
        <v>0</v>
      </c>
      <c r="G23" s="512">
        <f>SUMIFS('MAIN DATASET'!R:R,'MAIN DATASET'!B:B,'Aid over time'!B23,'MAIN DATASET'!C:C,"&gt;=5/1/2022",'MAIN DATASET'!C:C,"&lt;=5/31/2022")/1000000000</f>
        <v>1E-3</v>
      </c>
      <c r="H23" s="512">
        <f>SUMIFS('MAIN DATASET'!R:R,'MAIN DATASET'!B:B,'Aid over time'!B23,'MAIN DATASET'!C:C,"&gt;=6/1/2022",'MAIN DATASET'!C:C,"&lt;=6/30/2022")/1000000000</f>
        <v>0</v>
      </c>
      <c r="I23" s="512">
        <f>SUMIFS('MAIN DATASET'!R:R,'MAIN DATASET'!B:B,'Aid over time'!B23,'MAIN DATASET'!C:C,"&gt;=7/1/2022",'MAIN DATASET'!C:C,"&lt;=7/31/2022")/1000000000</f>
        <v>0</v>
      </c>
      <c r="J23" s="513">
        <f t="shared" si="0"/>
        <v>5.1000000000000004E-2</v>
      </c>
      <c r="K23" s="512"/>
      <c r="L23" s="512"/>
      <c r="M23" s="512"/>
      <c r="N23" s="512"/>
      <c r="O23" s="512"/>
      <c r="Q23" s="517"/>
    </row>
    <row r="24" spans="2:17">
      <c r="B24" s="126" t="s">
        <v>1207</v>
      </c>
      <c r="C24" s="513">
        <f>SUMIFS('MAIN DATASET'!R:R,'MAIN DATASET'!B:B,'Aid over time'!B24,'MAIN DATASET'!C:C,"&gt;=1/1/2022",'MAIN DATASET'!C:C,"&lt;=1/31/2022")/1000000000</f>
        <v>0</v>
      </c>
      <c r="D24" s="94">
        <f>SUMIFS('MAIN DATASET'!R:R,'MAIN DATASET'!B:B,'Aid over time'!B24,'MAIN DATASET'!C:C,"&gt;=2/1/2022",'MAIN DATASET'!C:C,"&lt;=2/28/2022")/1000000000</f>
        <v>0</v>
      </c>
      <c r="E24" s="94">
        <f>SUMIFS('MAIN DATASET'!R:R,'MAIN DATASET'!B:B,'Aid over time'!B24,'MAIN DATASET'!C:C,"&gt;=3/1/2022",'MAIN DATASET'!C:C,"&lt;=3/31/2022")/1000000000</f>
        <v>1.15E-3</v>
      </c>
      <c r="F24" s="94">
        <f>SUMIFS('MAIN DATASET'!R:R,'MAIN DATASET'!B:B,'Aid over time'!B24,'MAIN DATASET'!C:C,"&gt;=4/1/2022",'MAIN DATASET'!C:C,"&lt;=4/30/2022")/1000000000</f>
        <v>0</v>
      </c>
      <c r="G24" s="512">
        <f>SUMIFS('MAIN DATASET'!R:R,'MAIN DATASET'!B:B,'Aid over time'!B24,'MAIN DATASET'!C:C,"&gt;=5/1/2022",'MAIN DATASET'!C:C,"&lt;=5/31/2022")/1000000000</f>
        <v>0</v>
      </c>
      <c r="H24" s="512">
        <f>SUMIFS('MAIN DATASET'!R:R,'MAIN DATASET'!B:B,'Aid over time'!B24,'MAIN DATASET'!C:C,"&gt;=6/1/2022",'MAIN DATASET'!C:C,"&lt;=6/30/2022")/1000000000</f>
        <v>0</v>
      </c>
      <c r="I24" s="512">
        <f>SUMIFS('MAIN DATASET'!R:R,'MAIN DATASET'!B:B,'Aid over time'!B24,'MAIN DATASET'!C:C,"&gt;=7/1/2022",'MAIN DATASET'!C:C,"&lt;=7/31/2022")/1000000000</f>
        <v>0</v>
      </c>
      <c r="J24" s="513">
        <f t="shared" si="0"/>
        <v>1.15E-3</v>
      </c>
      <c r="K24" s="512"/>
      <c r="L24" s="512"/>
      <c r="M24" s="512"/>
      <c r="N24" s="512"/>
      <c r="O24" s="512"/>
      <c r="Q24" s="517"/>
    </row>
    <row r="25" spans="2:17">
      <c r="B25" s="94" t="s">
        <v>1215</v>
      </c>
      <c r="C25" s="513">
        <f>SUMIFS('MAIN DATASET'!R:R,'MAIN DATASET'!B:B,'Aid over time'!B25,'MAIN DATASET'!C:C,"&gt;=1/1/2022",'MAIN DATASET'!C:C,"&lt;=1/31/2022")/1000000000</f>
        <v>0</v>
      </c>
      <c r="D25" s="94">
        <f>SUMIFS('MAIN DATASET'!R:R,'MAIN DATASET'!B:B,'Aid over time'!B25,'MAIN DATASET'!C:C,"&gt;=2/1/2022",'MAIN DATASET'!C:C,"&lt;=2/28/2022")/1000000000</f>
        <v>0.05</v>
      </c>
      <c r="E25" s="94">
        <f>SUMIFS('MAIN DATASET'!R:R,'MAIN DATASET'!B:B,'Aid over time'!B25,'MAIN DATASET'!C:C,"&gt;=3/1/2022",'MAIN DATASET'!C:C,"&lt;=3/31/2022")/1000000000</f>
        <v>9.6907196969696963E-2</v>
      </c>
      <c r="F25" s="94">
        <f>SUMIFS('MAIN DATASET'!R:R,'MAIN DATASET'!B:B,'Aid over time'!B25,'MAIN DATASET'!C:C,"&gt;=4/1/2022",'MAIN DATASET'!C:C,"&lt;=4/30/2022")/1000000000</f>
        <v>2.130681818181818E-2</v>
      </c>
      <c r="G25" s="512">
        <f>SUMIFS('MAIN DATASET'!R:R,'MAIN DATASET'!B:B,'Aid over time'!B25,'MAIN DATASET'!C:C,"&gt;=5/1/2022",'MAIN DATASET'!C:C,"&lt;=5/31/2022")/1000000000</f>
        <v>8.5416666666666662E-3</v>
      </c>
      <c r="H25" s="512">
        <f>SUMIFS('MAIN DATASET'!R:R,'MAIN DATASET'!B:B,'Aid over time'!B25,'MAIN DATASET'!C:C,"&gt;=6/1/2022",'MAIN DATASET'!C:C,"&lt;=6/30/2022")/1000000000</f>
        <v>1.2784090909090908E-2</v>
      </c>
      <c r="I25" s="512">
        <f>SUMIFS('MAIN DATASET'!R:R,'MAIN DATASET'!B:B,'Aid over time'!B25,'MAIN DATASET'!C:C,"&gt;=7/1/2022",'MAIN DATASET'!C:C,"&lt;=7/31/2022")/1000000000</f>
        <v>0</v>
      </c>
      <c r="J25" s="513">
        <f t="shared" si="0"/>
        <v>0.18953977272727271</v>
      </c>
      <c r="K25" s="512"/>
      <c r="L25" s="512"/>
      <c r="M25" s="512"/>
      <c r="N25" s="512"/>
      <c r="O25" s="512"/>
      <c r="Q25" s="517"/>
    </row>
    <row r="26" spans="2:17">
      <c r="B26" s="512" t="s">
        <v>1273</v>
      </c>
      <c r="C26" s="513">
        <f>SUMIFS('MAIN DATASET'!R:R,'MAIN DATASET'!B:B,'Aid over time'!B26,'MAIN DATASET'!C:C,"&gt;=1/1/2022",'MAIN DATASET'!C:C,"&lt;=1/31/2022")/1000000000</f>
        <v>0</v>
      </c>
      <c r="D26" s="94">
        <f>SUMIFS('MAIN DATASET'!R:R,'MAIN DATASET'!B:B,'Aid over time'!B26,'MAIN DATASET'!C:C,"&gt;=2/1/2022",'MAIN DATASET'!C:C,"&lt;=2/28/2022")/1000000000</f>
        <v>2.4019696150843692E-3</v>
      </c>
      <c r="E26" s="94">
        <f>SUMIFS('MAIN DATASET'!R:R,'MAIN DATASET'!B:B,'Aid over time'!B26,'MAIN DATASET'!C:C,"&gt;=3/1/2022",'MAIN DATASET'!C:C,"&lt;=3/31/2022")/1000000000</f>
        <v>1.1480397727272728E-3</v>
      </c>
      <c r="F26" s="94">
        <f>SUMIFS('MAIN DATASET'!R:R,'MAIN DATASET'!B:B,'Aid over time'!B26,'MAIN DATASET'!C:C,"&gt;=4/1/2022",'MAIN DATASET'!C:C,"&lt;=4/30/2022")/1000000000</f>
        <v>6.9657118837446698E-3</v>
      </c>
      <c r="G26" s="512">
        <f>SUMIFS('MAIN DATASET'!R:R,'MAIN DATASET'!B:B,'Aid over time'!B26,'MAIN DATASET'!C:C,"&gt;=5/1/2022",'MAIN DATASET'!C:C,"&lt;=5/31/2022")/1000000000</f>
        <v>0</v>
      </c>
      <c r="H26" s="512">
        <f>SUMIFS('MAIN DATASET'!R:R,'MAIN DATASET'!B:B,'Aid over time'!B26,'MAIN DATASET'!C:C,"&gt;=6/1/2022",'MAIN DATASET'!C:C,"&lt;=6/30/2022")/1000000000</f>
        <v>2.7022158169699153E-3</v>
      </c>
      <c r="I26" s="512">
        <f>SUMIFS('MAIN DATASET'!R:R,'MAIN DATASET'!B:B,'Aid over time'!B26,'MAIN DATASET'!C:C,"&gt;=7/1/2022",'MAIN DATASET'!C:C,"&lt;=7/31/2022")/1000000000</f>
        <v>0</v>
      </c>
      <c r="J26" s="513">
        <f t="shared" si="0"/>
        <v>1.3217937088526227E-2</v>
      </c>
      <c r="K26" s="512"/>
      <c r="L26" s="512"/>
      <c r="M26" s="512"/>
      <c r="N26" s="512"/>
      <c r="O26" s="512"/>
      <c r="Q26" s="517"/>
    </row>
    <row r="27" spans="2:17">
      <c r="B27" s="512" t="s">
        <v>1306</v>
      </c>
      <c r="C27" s="513">
        <f>SUMIFS('MAIN DATASET'!R:R,'MAIN DATASET'!B:B,'Aid over time'!B27,'MAIN DATASET'!C:C,"&gt;=1/1/2022",'MAIN DATASET'!C:C,"&lt;=1/31/2022")/1000000000</f>
        <v>0</v>
      </c>
      <c r="D27" s="94">
        <f>SUMIFS('MAIN DATASET'!R:R,'MAIN DATASET'!B:B,'Aid over time'!B27,'MAIN DATASET'!C:C,"&gt;=2/1/2022",'MAIN DATASET'!C:C,"&lt;=2/28/2022")/1000000000</f>
        <v>3.7878787878787876E-3</v>
      </c>
      <c r="E27" s="94">
        <f>SUMIFS('MAIN DATASET'!R:R,'MAIN DATASET'!B:B,'Aid over time'!B27,'MAIN DATASET'!C:C,"&gt;=3/1/2022",'MAIN DATASET'!C:C,"&lt;=3/31/2022")/1000000000</f>
        <v>3.7878787878787876E-3</v>
      </c>
      <c r="F27" s="94">
        <f>SUMIFS('MAIN DATASET'!R:R,'MAIN DATASET'!B:B,'Aid over time'!B27,'MAIN DATASET'!C:C,"&gt;=4/1/2022",'MAIN DATASET'!C:C,"&lt;=4/30/2022")/1000000000</f>
        <v>0.24621212121212119</v>
      </c>
      <c r="G27" s="512">
        <f>SUMIFS('MAIN DATASET'!R:R,'MAIN DATASET'!B:B,'Aid over time'!B27,'MAIN DATASET'!C:C,"&gt;=5/1/2022",'MAIN DATASET'!C:C,"&lt;=5/31/2022")/1000000000</f>
        <v>4.8543218027009439E-3</v>
      </c>
      <c r="H27" s="512">
        <f>SUMIFS('MAIN DATASET'!R:R,'MAIN DATASET'!B:B,'Aid over time'!B27,'MAIN DATASET'!C:C,"&gt;=6/1/2022",'MAIN DATASET'!C:C,"&lt;=6/30/2022")/1000000000</f>
        <v>1.8418560606060605E-2</v>
      </c>
      <c r="I27" s="512">
        <f>SUMIFS('MAIN DATASET'!R:R,'MAIN DATASET'!B:B,'Aid over time'!B27,'MAIN DATASET'!C:C,"&gt;=7/1/2022",'MAIN DATASET'!C:C,"&lt;=7/31/2022")/1000000000</f>
        <v>0</v>
      </c>
      <c r="J27" s="513">
        <f t="shared" si="0"/>
        <v>0.27706076119664036</v>
      </c>
      <c r="K27" s="512"/>
      <c r="L27" s="512"/>
      <c r="M27" s="512"/>
      <c r="N27" s="512"/>
      <c r="O27" s="512"/>
      <c r="Q27" s="517"/>
    </row>
    <row r="28" spans="2:17">
      <c r="B28" s="94" t="s">
        <v>1364</v>
      </c>
      <c r="C28" s="513">
        <f>SUMIFS('MAIN DATASET'!R:R,'MAIN DATASET'!B:B,'Aid over time'!B28,'MAIN DATASET'!C:C,"&gt;=1/1/2022",'MAIN DATASET'!C:C,"&lt;=1/31/2022")/1000000000</f>
        <v>0</v>
      </c>
      <c r="D28" s="94">
        <f>SUMIFS('MAIN DATASET'!R:R,'MAIN DATASET'!B:B,'Aid over time'!B28,'MAIN DATASET'!C:C,"&gt;=2/1/2022",'MAIN DATASET'!C:C,"&lt;=2/28/2022")/1000000000</f>
        <v>0.94696969696969691</v>
      </c>
      <c r="E28" s="94">
        <f>SUMIFS('MAIN DATASET'!R:R,'MAIN DATASET'!B:B,'Aid over time'!B28,'MAIN DATASET'!C:C,"&gt;=3/1/2022",'MAIN DATASET'!C:C,"&lt;=3/31/2022")/1000000000</f>
        <v>6.4514741618459824E-3</v>
      </c>
      <c r="F28" s="94">
        <f>SUMIFS('MAIN DATASET'!R:R,'MAIN DATASET'!B:B,'Aid over time'!B28,'MAIN DATASET'!C:C,"&gt;=4/1/2022",'MAIN DATASET'!C:C,"&lt;=4/30/2022")/1000000000</f>
        <v>2.840909090909091E-3</v>
      </c>
      <c r="G28" s="512">
        <f>SUMIFS('MAIN DATASET'!R:R,'MAIN DATASET'!B:B,'Aid over time'!B28,'MAIN DATASET'!C:C,"&gt;=5/1/2022",'MAIN DATASET'!C:C,"&lt;=5/31/2022")/1000000000</f>
        <v>0.1</v>
      </c>
      <c r="H28" s="512">
        <f>SUMIFS('MAIN DATASET'!R:R,'MAIN DATASET'!B:B,'Aid over time'!B28,'MAIN DATASET'!C:C,"&gt;=6/1/2022",'MAIN DATASET'!C:C,"&lt;=6/30/2022")/1000000000</f>
        <v>0</v>
      </c>
      <c r="I28" s="512">
        <f>SUMIFS('MAIN DATASET'!R:R,'MAIN DATASET'!B:B,'Aid over time'!B28,'MAIN DATASET'!C:C,"&gt;=7/1/2022",'MAIN DATASET'!C:C,"&lt;=7/31/2022")/1000000000</f>
        <v>0</v>
      </c>
      <c r="J28" s="513">
        <f t="shared" si="0"/>
        <v>1.056262080222452</v>
      </c>
      <c r="K28" s="512"/>
      <c r="L28" s="512"/>
      <c r="M28" s="512"/>
      <c r="N28" s="512"/>
      <c r="O28" s="512"/>
      <c r="Q28" s="517"/>
    </row>
    <row r="29" spans="2:17">
      <c r="B29" s="94" t="s">
        <v>1408</v>
      </c>
      <c r="C29" s="513">
        <f>SUMIFS('MAIN DATASET'!R:R,'MAIN DATASET'!B:B,'Aid over time'!B29,'MAIN DATASET'!C:C,"&gt;=1/1/2022",'MAIN DATASET'!C:C,"&lt;=1/31/2022")/1000000000</f>
        <v>0</v>
      </c>
      <c r="D29" s="94">
        <f>SUMIFS('MAIN DATASET'!R:R,'MAIN DATASET'!B:B,'Aid over time'!B29,'MAIN DATASET'!C:C,"&gt;=2/1/2022",'MAIN DATASET'!C:C,"&lt;=2/28/2022")/1000000000</f>
        <v>0</v>
      </c>
      <c r="E29" s="94">
        <f>SUMIFS('MAIN DATASET'!R:R,'MAIN DATASET'!B:B,'Aid over time'!B29,'MAIN DATASET'!C:C,"&gt;=3/1/2022",'MAIN DATASET'!C:C,"&lt;=3/31/2022")/1000000000</f>
        <v>1E-4</v>
      </c>
      <c r="F29" s="94">
        <f>SUMIFS('MAIN DATASET'!R:R,'MAIN DATASET'!B:B,'Aid over time'!B29,'MAIN DATASET'!C:C,"&gt;=4/1/2022",'MAIN DATASET'!C:C,"&lt;=4/30/2022")/1000000000</f>
        <v>2.0193181818181816E-3</v>
      </c>
      <c r="G29" s="512">
        <f>SUMIFS('MAIN DATASET'!R:R,'MAIN DATASET'!B:B,'Aid over time'!B29,'MAIN DATASET'!C:C,"&gt;=5/1/2022",'MAIN DATASET'!C:C,"&lt;=5/31/2022")/1000000000</f>
        <v>0.2578092803030303</v>
      </c>
      <c r="H29" s="512">
        <f>SUMIFS('MAIN DATASET'!R:R,'MAIN DATASET'!B:B,'Aid over time'!B29,'MAIN DATASET'!C:C,"&gt;=6/1/2022",'MAIN DATASET'!C:C,"&lt;=6/30/2022")/1000000000</f>
        <v>0</v>
      </c>
      <c r="I29" s="512">
        <f>SUMIFS('MAIN DATASET'!R:R,'MAIN DATASET'!B:B,'Aid over time'!B29,'MAIN DATASET'!C:C,"&gt;=7/1/2022",'MAIN DATASET'!C:C,"&lt;=7/31/2022")/1000000000</f>
        <v>0</v>
      </c>
      <c r="J29" s="513">
        <f t="shared" si="0"/>
        <v>0.25992859848484851</v>
      </c>
      <c r="K29" s="512"/>
      <c r="L29" s="512"/>
      <c r="M29" s="512"/>
      <c r="N29" s="512"/>
      <c r="O29" s="512"/>
      <c r="Q29" s="517"/>
    </row>
    <row r="30" spans="2:17">
      <c r="B30" s="512" t="s">
        <v>1449</v>
      </c>
      <c r="C30" s="513">
        <f>SUMIFS('MAIN DATASET'!R:R,'MAIN DATASET'!B:B,'Aid over time'!B30,'MAIN DATASET'!C:C,"&gt;=1/1/2022",'MAIN DATASET'!C:C,"&lt;=1/31/2022")/1000000000</f>
        <v>0</v>
      </c>
      <c r="D30" s="94">
        <f>SUMIFS('MAIN DATASET'!R:R,'MAIN DATASET'!B:B,'Aid over time'!B30,'MAIN DATASET'!C:C,"&gt;=2/1/2022",'MAIN DATASET'!C:C,"&lt;=2/28/2022")/1000000000</f>
        <v>9.4696969696969682E-3</v>
      </c>
      <c r="E30" s="94">
        <f>SUMIFS('MAIN DATASET'!R:R,'MAIN DATASET'!B:B,'Aid over time'!B30,'MAIN DATASET'!C:C,"&gt;=3/1/2022",'MAIN DATASET'!C:C,"&lt;=3/31/2022")/1000000000</f>
        <v>7.5757575757575758E-4</v>
      </c>
      <c r="F30" s="94">
        <f>SUMIFS('MAIN DATASET'!R:R,'MAIN DATASET'!B:B,'Aid over time'!B30,'MAIN DATASET'!C:C,"&gt;=4/1/2022",'MAIN DATASET'!C:C,"&lt;=4/30/2022")/1000000000</f>
        <v>2.9924242424242423E-2</v>
      </c>
      <c r="G30" s="512">
        <f>SUMIFS('MAIN DATASET'!R:R,'MAIN DATASET'!B:B,'Aid over time'!B30,'MAIN DATASET'!C:C,"&gt;=5/1/2022",'MAIN DATASET'!C:C,"&lt;=5/31/2022")/1000000000</f>
        <v>1.1174242424242425E-3</v>
      </c>
      <c r="H30" s="512">
        <f>SUMIFS('MAIN DATASET'!R:R,'MAIN DATASET'!B:B,'Aid over time'!B30,'MAIN DATASET'!C:C,"&gt;=6/1/2022",'MAIN DATASET'!C:C,"&lt;=6/30/2022")/1000000000</f>
        <v>1.1363636363636363E-3</v>
      </c>
      <c r="I30" s="512">
        <f>SUMIFS('MAIN DATASET'!R:R,'MAIN DATASET'!B:B,'Aid over time'!B30,'MAIN DATASET'!C:C,"&gt;=7/1/2022",'MAIN DATASET'!C:C,"&lt;=7/31/2022")/1000000000</f>
        <v>0</v>
      </c>
      <c r="J30" s="513">
        <f t="shared" si="0"/>
        <v>4.2405303030303022E-2</v>
      </c>
      <c r="K30" s="512"/>
      <c r="L30" s="512"/>
      <c r="M30" s="512"/>
      <c r="N30" s="512"/>
      <c r="O30" s="512"/>
      <c r="Q30" s="517"/>
    </row>
    <row r="31" spans="2:17">
      <c r="B31" s="94" t="s">
        <v>1478</v>
      </c>
      <c r="C31" s="513">
        <f>SUMIFS('MAIN DATASET'!R:R,'MAIN DATASET'!B:B,'Aid over time'!B31,'MAIN DATASET'!C:C,"&gt;=1/1/2022",'MAIN DATASET'!C:C,"&lt;=1/31/2022")/1000000000</f>
        <v>0</v>
      </c>
      <c r="D31" s="94">
        <f>SUMIFS('MAIN DATASET'!R:R,'MAIN DATASET'!B:B,'Aid over time'!B31,'MAIN DATASET'!C:C,"&gt;=2/1/2022",'MAIN DATASET'!C:C,"&lt;=2/28/2022")/1000000000</f>
        <v>3.1364462121212119E-3</v>
      </c>
      <c r="E31" s="94">
        <f>SUMIFS('MAIN DATASET'!R:R,'MAIN DATASET'!B:B,'Aid over time'!B31,'MAIN DATASET'!C:C,"&gt;=3/1/2022",'MAIN DATASET'!C:C,"&lt;=3/31/2022")/1000000000</f>
        <v>1.0112245929821014E-3</v>
      </c>
      <c r="F31" s="94">
        <f>SUMIFS('MAIN DATASET'!R:R,'MAIN DATASET'!B:B,'Aid over time'!B31,'MAIN DATASET'!C:C,"&gt;=4/1/2022",'MAIN DATASET'!C:C,"&lt;=4/30/2022")/1000000000</f>
        <v>2.2916666666666667E-3</v>
      </c>
      <c r="G31" s="512">
        <f>SUMIFS('MAIN DATASET'!R:R,'MAIN DATASET'!B:B,'Aid over time'!B31,'MAIN DATASET'!C:C,"&gt;=5/1/2022",'MAIN DATASET'!C:C,"&lt;=5/31/2022")/1000000000</f>
        <v>3.2000000000000002E-3</v>
      </c>
      <c r="H31" s="512">
        <f>SUMIFS('MAIN DATASET'!R:R,'MAIN DATASET'!B:B,'Aid over time'!B31,'MAIN DATASET'!C:C,"&gt;=6/1/2022",'MAIN DATASET'!C:C,"&lt;=6/30/2022")/1000000000</f>
        <v>0</v>
      </c>
      <c r="I31" s="512">
        <f>SUMIFS('MAIN DATASET'!R:R,'MAIN DATASET'!B:B,'Aid over time'!B31,'MAIN DATASET'!C:C,"&gt;=7/1/2022",'MAIN DATASET'!C:C,"&lt;=7/31/2022")/1000000000</f>
        <v>0</v>
      </c>
      <c r="J31" s="513">
        <f t="shared" si="0"/>
        <v>9.6393374717699803E-3</v>
      </c>
      <c r="K31" s="512"/>
      <c r="L31" s="512"/>
      <c r="M31" s="512"/>
      <c r="N31" s="512"/>
      <c r="O31" s="512"/>
      <c r="Q31" s="517"/>
    </row>
    <row r="32" spans="2:17">
      <c r="B32" s="94" t="s">
        <v>1507</v>
      </c>
      <c r="C32" s="513">
        <f>SUMIFS('MAIN DATASET'!R:R,'MAIN DATASET'!B:B,'Aid over time'!B32,'MAIN DATASET'!C:C,"&gt;=1/1/2022",'MAIN DATASET'!C:C,"&lt;=1/31/2022")/1000000000</f>
        <v>0</v>
      </c>
      <c r="D32" s="94">
        <f>SUMIFS('MAIN DATASET'!R:R,'MAIN DATASET'!B:B,'Aid over time'!B32,'MAIN DATASET'!C:C,"&gt;=2/1/2022",'MAIN DATASET'!C:C,"&lt;=2/28/2022")/1000000000</f>
        <v>1.72E-2</v>
      </c>
      <c r="E32" s="94">
        <f>SUMIFS('MAIN DATASET'!R:R,'MAIN DATASET'!B:B,'Aid over time'!B32,'MAIN DATASET'!C:C,"&gt;=3/1/2022",'MAIN DATASET'!C:C,"&lt;=3/31/2022")/1000000000</f>
        <v>3.2199999999999999E-2</v>
      </c>
      <c r="F32" s="94">
        <f>SUMIFS('MAIN DATASET'!R:R,'MAIN DATASET'!B:B,'Aid over time'!B32,'MAIN DATASET'!C:C,"&gt;=4/1/2022",'MAIN DATASET'!C:C,"&lt;=4/30/2022")/1000000000</f>
        <v>6.9393939393939397E-2</v>
      </c>
      <c r="G32" s="512">
        <f>SUMIFS('MAIN DATASET'!R:R,'MAIN DATASET'!B:B,'Aid over time'!B32,'MAIN DATASET'!C:C,"&gt;=5/1/2022",'MAIN DATASET'!C:C,"&lt;=5/31/2022")/1000000000</f>
        <v>0</v>
      </c>
      <c r="H32" s="512">
        <f>SUMIFS('MAIN DATASET'!R:R,'MAIN DATASET'!B:B,'Aid over time'!B32,'MAIN DATASET'!C:C,"&gt;=6/1/2022",'MAIN DATASET'!C:C,"&lt;=6/30/2022")/1000000000</f>
        <v>4.9857954545454546E-2</v>
      </c>
      <c r="I32" s="512">
        <f>SUMIFS('MAIN DATASET'!R:R,'MAIN DATASET'!B:B,'Aid over time'!B32,'MAIN DATASET'!C:C,"&gt;=7/1/2022",'MAIN DATASET'!C:C,"&lt;=7/31/2022")/1000000000</f>
        <v>0</v>
      </c>
      <c r="J32" s="513">
        <f t="shared" si="0"/>
        <v>0.16865189393939395</v>
      </c>
      <c r="K32" s="512"/>
      <c r="L32" s="512"/>
      <c r="M32" s="512"/>
      <c r="N32" s="512"/>
      <c r="O32" s="512"/>
      <c r="Q32" s="517"/>
    </row>
    <row r="33" spans="1:17">
      <c r="B33" s="94" t="s">
        <v>1546</v>
      </c>
      <c r="C33" s="513">
        <f>SUMIFS('MAIN DATASET'!R:R,'MAIN DATASET'!B:B,'Aid over time'!B33,'MAIN DATASET'!C:C,"&gt;=1/1/2022",'MAIN DATASET'!C:C,"&lt;=1/31/2022")/1000000000</f>
        <v>0</v>
      </c>
      <c r="D33" s="94">
        <f>SUMIFS('MAIN DATASET'!R:R,'MAIN DATASET'!B:B,'Aid over time'!B33,'MAIN DATASET'!C:C,"&gt;=2/1/2022",'MAIN DATASET'!C:C,"&lt;=2/28/2022")/1000000000</f>
        <v>2.63E-4</v>
      </c>
      <c r="E33" s="94">
        <f>SUMIFS('MAIN DATASET'!R:R,'MAIN DATASET'!B:B,'Aid over time'!B33,'MAIN DATASET'!C:C,"&gt;=3/1/2022",'MAIN DATASET'!C:C,"&lt;=3/31/2022")/1000000000</f>
        <v>0</v>
      </c>
      <c r="F33" s="94">
        <f>SUMIFS('MAIN DATASET'!R:R,'MAIN DATASET'!B:B,'Aid over time'!B33,'MAIN DATASET'!C:C,"&gt;=4/1/2022",'MAIN DATASET'!C:C,"&lt;=4/30/2022")/1000000000</f>
        <v>1.82E-3</v>
      </c>
      <c r="G33" s="512">
        <f>SUMIFS('MAIN DATASET'!R:R,'MAIN DATASET'!B:B,'Aid over time'!B33,'MAIN DATASET'!C:C,"&gt;=5/1/2022",'MAIN DATASET'!C:C,"&lt;=5/31/2022")/1000000000</f>
        <v>0</v>
      </c>
      <c r="H33" s="512">
        <f>SUMIFS('MAIN DATASET'!R:R,'MAIN DATASET'!B:B,'Aid over time'!B33,'MAIN DATASET'!C:C,"&gt;=6/1/2022",'MAIN DATASET'!C:C,"&lt;=6/30/2022")/1000000000</f>
        <v>0</v>
      </c>
      <c r="I33" s="512">
        <f>SUMIFS('MAIN DATASET'!R:R,'MAIN DATASET'!B:B,'Aid over time'!B33,'MAIN DATASET'!C:C,"&gt;=7/1/2022",'MAIN DATASET'!C:C,"&lt;=7/31/2022")/1000000000</f>
        <v>0</v>
      </c>
      <c r="J33" s="513">
        <f t="shared" si="0"/>
        <v>2.0829999999999998E-3</v>
      </c>
      <c r="K33" s="512"/>
      <c r="L33" s="512"/>
      <c r="M33" s="512"/>
      <c r="N33" s="512"/>
      <c r="O33" s="512"/>
      <c r="Q33" s="517"/>
    </row>
    <row r="34" spans="1:17">
      <c r="B34" s="94" t="s">
        <v>1587</v>
      </c>
      <c r="C34" s="513">
        <f>SUMIFS('MAIN DATASET'!R:R,'MAIN DATASET'!B:B,'Aid over time'!B34,'MAIN DATASET'!C:C,"&gt;=1/1/2022",'MAIN DATASET'!C:C,"&lt;=1/31/2022")/1000000000</f>
        <v>0</v>
      </c>
      <c r="D34" s="94">
        <f>SUMIFS('MAIN DATASET'!R:R,'MAIN DATASET'!B:B,'Aid over time'!B34,'MAIN DATASET'!C:C,"&gt;=2/1/2022",'MAIN DATASET'!C:C,"&lt;=2/28/2022")/1000000000</f>
        <v>1.4999999999999999E-4</v>
      </c>
      <c r="E34" s="94">
        <f>SUMIFS('MAIN DATASET'!R:R,'MAIN DATASET'!B:B,'Aid over time'!B34,'MAIN DATASET'!C:C,"&gt;=3/1/2022",'MAIN DATASET'!C:C,"&lt;=3/31/2022")/1000000000</f>
        <v>4.6227367424242424E-2</v>
      </c>
      <c r="F34" s="94">
        <f>SUMIFS('MAIN DATASET'!R:R,'MAIN DATASET'!B:B,'Aid over time'!B34,'MAIN DATASET'!C:C,"&gt;=4/1/2022",'MAIN DATASET'!C:C,"&lt;=4/30/2022")/1000000000</f>
        <v>2.1601893939393938E-2</v>
      </c>
      <c r="G34" s="512">
        <f>SUMIFS('MAIN DATASET'!R:R,'MAIN DATASET'!B:B,'Aid over time'!B34,'MAIN DATASET'!C:C,"&gt;=5/1/2022",'MAIN DATASET'!C:C,"&lt;=5/31/2022")/1000000000</f>
        <v>0</v>
      </c>
      <c r="H34" s="512">
        <f>SUMIFS('MAIN DATASET'!R:R,'MAIN DATASET'!B:B,'Aid over time'!B34,'MAIN DATASET'!C:C,"&gt;=6/1/2022",'MAIN DATASET'!C:C,"&lt;=6/30/2022")/1000000000</f>
        <v>1.1990445075757574E-2</v>
      </c>
      <c r="I34" s="512">
        <f>SUMIFS('MAIN DATASET'!R:R,'MAIN DATASET'!B:B,'Aid over time'!B34,'MAIN DATASET'!C:C,"&gt;=7/1/2022",'MAIN DATASET'!C:C,"&lt;=7/31/2022")/1000000000</f>
        <v>0</v>
      </c>
      <c r="J34" s="513">
        <f t="shared" si="0"/>
        <v>7.9969706439393926E-2</v>
      </c>
      <c r="K34" s="512"/>
      <c r="L34" s="512"/>
      <c r="M34" s="512"/>
      <c r="N34" s="512"/>
      <c r="O34" s="512"/>
      <c r="Q34" s="517"/>
    </row>
    <row r="35" spans="1:17">
      <c r="B35" s="94" t="s">
        <v>1645</v>
      </c>
      <c r="C35" s="513">
        <f>SUMIFS('MAIN DATASET'!R:R,'MAIN DATASET'!B:B,'Aid over time'!B35,'MAIN DATASET'!C:C,"&gt;=1/1/2022",'MAIN DATASET'!C:C,"&lt;=1/31/2022")/1000000000</f>
        <v>0</v>
      </c>
      <c r="D35" s="94">
        <f>SUMIFS('MAIN DATASET'!R:R,'MAIN DATASET'!B:B,'Aid over time'!B35,'MAIN DATASET'!C:C,"&gt;=2/1/2022",'MAIN DATASET'!C:C,"&lt;=2/28/2022")/1000000000</f>
        <v>8.4840029411210188E-2</v>
      </c>
      <c r="E35" s="94">
        <f>SUMIFS('MAIN DATASET'!R:R,'MAIN DATASET'!B:B,'Aid over time'!B35,'MAIN DATASET'!C:C,"&gt;=3/1/2022",'MAIN DATASET'!C:C,"&lt;=3/31/2022")/1000000000</f>
        <v>6.0132575757575753E-2</v>
      </c>
      <c r="F35" s="94">
        <f>SUMIFS('MAIN DATASET'!R:R,'MAIN DATASET'!B:B,'Aid over time'!B35,'MAIN DATASET'!C:C,"&gt;=4/1/2022",'MAIN DATASET'!C:C,"&lt;=4/30/2022")/1000000000</f>
        <v>4.3999999999999997E-2</v>
      </c>
      <c r="G35" s="512">
        <f>SUMIFS('MAIN DATASET'!R:R,'MAIN DATASET'!B:B,'Aid over time'!B35,'MAIN DATASET'!C:C,"&gt;=5/1/2022",'MAIN DATASET'!C:C,"&lt;=5/31/2022")/1000000000</f>
        <v>2.1681340849531494E-2</v>
      </c>
      <c r="H35" s="512">
        <f>SUMIFS('MAIN DATASET'!R:R,'MAIN DATASET'!B:B,'Aid over time'!B35,'MAIN DATASET'!C:C,"&gt;=6/1/2022",'MAIN DATASET'!C:C,"&lt;=6/30/2022")/1000000000</f>
        <v>9.4266699345789101E-2</v>
      </c>
      <c r="I35" s="512">
        <f>SUMIFS('MAIN DATASET'!R:R,'MAIN DATASET'!B:B,'Aid over time'!B35,'MAIN DATASET'!C:C,"&gt;=7/1/2022",'MAIN DATASET'!C:C,"&lt;=7/31/2022")/1000000000</f>
        <v>0</v>
      </c>
      <c r="J35" s="513">
        <f t="shared" si="0"/>
        <v>0.30492064536410657</v>
      </c>
      <c r="K35" s="512"/>
      <c r="L35" s="512"/>
      <c r="M35" s="512"/>
      <c r="N35" s="512"/>
      <c r="O35" s="512"/>
      <c r="Q35" s="517"/>
    </row>
    <row r="36" spans="1:17">
      <c r="B36" s="512" t="s">
        <v>1694</v>
      </c>
      <c r="C36" s="513">
        <f>SUMIFS('MAIN DATASET'!R:R,'MAIN DATASET'!B:B,'Aid over time'!B36,'MAIN DATASET'!C:C,"&gt;=1/1/2022",'MAIN DATASET'!C:C,"&lt;=1/31/2022")/1000000000</f>
        <v>0</v>
      </c>
      <c r="D36" s="94">
        <f>SUMIFS('MAIN DATASET'!R:R,'MAIN DATASET'!B:B,'Aid over time'!B36,'MAIN DATASET'!C:C,"&gt;=2/1/2022",'MAIN DATASET'!C:C,"&lt;=2/28/2022")/1000000000</f>
        <v>0</v>
      </c>
      <c r="E36" s="94">
        <f>SUMIFS('MAIN DATASET'!R:R,'MAIN DATASET'!B:B,'Aid over time'!B36,'MAIN DATASET'!C:C,"&gt;=3/1/2022",'MAIN DATASET'!C:C,"&lt;=3/31/2022")/1000000000</f>
        <v>5.8622374206155348E-2</v>
      </c>
      <c r="F36" s="94">
        <f>SUMIFS('MAIN DATASET'!R:R,'MAIN DATASET'!B:B,'Aid over time'!B36,'MAIN DATASET'!C:C,"&gt;=4/1/2022",'MAIN DATASET'!C:C,"&lt;=4/30/2022")/1000000000</f>
        <v>0</v>
      </c>
      <c r="G36" s="512">
        <f>SUMIFS('MAIN DATASET'!R:R,'MAIN DATASET'!B:B,'Aid over time'!B36,'MAIN DATASET'!C:C,"&gt;=5/1/2022",'MAIN DATASET'!C:C,"&lt;=5/31/2022")/1000000000</f>
        <v>0</v>
      </c>
      <c r="H36" s="512">
        <f>SUMIFS('MAIN DATASET'!R:R,'MAIN DATASET'!B:B,'Aid over time'!B36,'MAIN DATASET'!C:C,"&gt;=6/1/2022",'MAIN DATASET'!C:C,"&lt;=6/30/2022")/1000000000</f>
        <v>0</v>
      </c>
      <c r="I36" s="512">
        <f>SUMIFS('MAIN DATASET'!R:R,'MAIN DATASET'!B:B,'Aid over time'!B36,'MAIN DATASET'!C:C,"&gt;=7/1/2022",'MAIN DATASET'!C:C,"&lt;=7/31/2022")/1000000000</f>
        <v>0</v>
      </c>
      <c r="J36" s="513">
        <f t="shared" si="0"/>
        <v>5.8622374206155348E-2</v>
      </c>
      <c r="K36" s="512"/>
      <c r="L36" s="512"/>
      <c r="M36" s="512"/>
      <c r="N36" s="512"/>
      <c r="O36" s="512"/>
      <c r="Q36" s="517"/>
    </row>
    <row r="37" spans="1:17">
      <c r="B37" s="512" t="s">
        <v>1702</v>
      </c>
      <c r="C37" s="513">
        <f>SUMIFS('MAIN DATASET'!R:R,'MAIN DATASET'!B:B,'Aid over time'!B37,'MAIN DATASET'!C:C,"&gt;=1/1/2022",'MAIN DATASET'!C:C,"&lt;=1/31/2022")/1000000000</f>
        <v>0</v>
      </c>
      <c r="D37" s="94">
        <f>SUMIFS('MAIN DATASET'!R:R,'MAIN DATASET'!B:B,'Aid over time'!B37,'MAIN DATASET'!C:C,"&gt;=2/1/2022",'MAIN DATASET'!C:C,"&lt;=2/28/2022")/1000000000</f>
        <v>1.8416856060606061E-4</v>
      </c>
      <c r="E37" s="94">
        <f>SUMIFS('MAIN DATASET'!R:R,'MAIN DATASET'!B:B,'Aid over time'!B37,'MAIN DATASET'!C:C,"&gt;=3/1/2022",'MAIN DATASET'!C:C,"&lt;=3/31/2022")/1000000000</f>
        <v>0</v>
      </c>
      <c r="F37" s="94">
        <f>SUMIFS('MAIN DATASET'!R:R,'MAIN DATASET'!B:B,'Aid over time'!B37,'MAIN DATASET'!C:C,"&gt;=4/1/2022",'MAIN DATASET'!C:C,"&lt;=4/30/2022")/1000000000</f>
        <v>0</v>
      </c>
      <c r="G37" s="512">
        <f>SUMIFS('MAIN DATASET'!R:R,'MAIN DATASET'!B:B,'Aid over time'!B37,'MAIN DATASET'!C:C,"&gt;=5/1/2022",'MAIN DATASET'!C:C,"&lt;=5/31/2022")/1000000000</f>
        <v>0</v>
      </c>
      <c r="H37" s="512">
        <f>SUMIFS('MAIN DATASET'!R:R,'MAIN DATASET'!B:B,'Aid over time'!B37,'MAIN DATASET'!C:C,"&gt;=6/1/2022",'MAIN DATASET'!C:C,"&lt;=6/30/2022")/1000000000</f>
        <v>0</v>
      </c>
      <c r="I37" s="512">
        <f>SUMIFS('MAIN DATASET'!R:R,'MAIN DATASET'!B:B,'Aid over time'!B37,'MAIN DATASET'!C:C,"&gt;=7/1/2022",'MAIN DATASET'!C:C,"&lt;=7/31/2022")/1000000000</f>
        <v>0</v>
      </c>
      <c r="J37" s="513">
        <f t="shared" si="0"/>
        <v>1.8416856060606061E-4</v>
      </c>
      <c r="K37" s="512"/>
      <c r="L37" s="512"/>
      <c r="M37" s="512"/>
      <c r="N37" s="512"/>
      <c r="O37" s="512"/>
      <c r="Q37" s="517"/>
    </row>
    <row r="38" spans="1:17">
      <c r="B38" s="94" t="s">
        <v>1741</v>
      </c>
      <c r="C38" s="513">
        <f>SUMIFS('MAIN DATASET'!R:R,'MAIN DATASET'!B:B,'Aid over time'!B38,'MAIN DATASET'!C:C,"&gt;=1/1/2022",'MAIN DATASET'!C:C,"&lt;=1/31/2022")/1000000000</f>
        <v>0</v>
      </c>
      <c r="D38" s="94">
        <f>SUMIFS('MAIN DATASET'!R:R,'MAIN DATASET'!B:B,'Aid over time'!B38,'MAIN DATASET'!C:C,"&gt;=2/1/2022",'MAIN DATASET'!C:C,"&lt;=2/28/2022")/1000000000</f>
        <v>0.79445179374810604</v>
      </c>
      <c r="E38" s="94">
        <f>SUMIFS('MAIN DATASET'!R:R,'MAIN DATASET'!B:B,'Aid over time'!B38,'MAIN DATASET'!C:C,"&gt;=3/1/2022",'MAIN DATASET'!C:C,"&lt;=3/31/2022")/1000000000</f>
        <v>0.93769953050399557</v>
      </c>
      <c r="F38" s="94">
        <f>SUMIFS('MAIN DATASET'!R:R,'MAIN DATASET'!B:B,'Aid over time'!B38,'MAIN DATASET'!C:C,"&gt;=4/1/2022",'MAIN DATASET'!C:C,"&lt;=4/30/2022")/1000000000</f>
        <v>1.4251946856146254</v>
      </c>
      <c r="G38" s="512">
        <f>SUMIFS('MAIN DATASET'!R:R,'MAIN DATASET'!B:B,'Aid over time'!B38,'MAIN DATASET'!C:C,"&gt;=5/1/2022",'MAIN DATASET'!C:C,"&lt;=5/31/2022")/1000000000</f>
        <v>1.5625353190404241</v>
      </c>
      <c r="H38" s="512">
        <f>SUMIFS('MAIN DATASET'!R:R,'MAIN DATASET'!B:B,'Aid over time'!B38,'MAIN DATASET'!C:C,"&gt;=6/1/2022",'MAIN DATASET'!C:C,"&lt;=6/30/2022")/1000000000</f>
        <v>1.3986340007925593</v>
      </c>
      <c r="I38" s="512">
        <f>SUMIFS('MAIN DATASET'!R:R,'MAIN DATASET'!B:B,'Aid over time'!B38,'MAIN DATASET'!C:C,"&gt;=7/1/2022",'MAIN DATASET'!C:C,"&lt;=7/31/2022")/1000000000</f>
        <v>0</v>
      </c>
      <c r="J38" s="513">
        <f t="shared" si="0"/>
        <v>6.1185153296997106</v>
      </c>
      <c r="K38" s="512"/>
      <c r="L38" s="512"/>
      <c r="M38" s="512"/>
      <c r="N38" s="512"/>
      <c r="O38" s="512"/>
      <c r="Q38" s="517"/>
    </row>
    <row r="39" spans="1:17" s="126" customFormat="1">
      <c r="A39" s="117"/>
      <c r="B39" s="126" t="s">
        <v>1837</v>
      </c>
      <c r="C39" s="513">
        <f>SUMIFS('MAIN DATASET'!R:R,'MAIN DATASET'!B:B,'Aid over time'!B39,'MAIN DATASET'!C:C,"&gt;=1/1/2022",'MAIN DATASET'!C:C,"&lt;=1/31/2022")/1000000000</f>
        <v>0</v>
      </c>
      <c r="D39" s="94">
        <f>SUMIFS('MAIN DATASET'!R:R,'MAIN DATASET'!B:B,'Aid over time'!B39,'MAIN DATASET'!C:C,"&gt;=2/1/2022",'MAIN DATASET'!C:C,"&lt;=2/28/2022")/1000000000</f>
        <v>4.1231060606060606</v>
      </c>
      <c r="E39" s="94">
        <f>SUMIFS('MAIN DATASET'!R:R,'MAIN DATASET'!B:B,'Aid over time'!B39,'MAIN DATASET'!C:C,"&gt;=3/1/2022",'MAIN DATASET'!C:C,"&lt;=3/31/2022")/1000000000</f>
        <v>5.1374053030303024</v>
      </c>
      <c r="F39" s="94">
        <f>SUMIFS('MAIN DATASET'!R:R,'MAIN DATASET'!B:B,'Aid over time'!B39,'MAIN DATASET'!C:C,"&gt;=4/1/2022",'MAIN DATASET'!C:C,"&lt;=4/30/2022")/1000000000</f>
        <v>6.7366055125151512</v>
      </c>
      <c r="G39" s="512">
        <f>SUMIFS('MAIN DATASET'!R:R,'MAIN DATASET'!B:B,'Aid over time'!B39,'MAIN DATASET'!C:C,"&gt;=5/1/2022",'MAIN DATASET'!C:C,"&lt;=5/31/2022")/1000000000</f>
        <v>12.412878787878787</v>
      </c>
      <c r="H39" s="512">
        <f>SUMIFS('MAIN DATASET'!R:R,'MAIN DATASET'!B:B,'Aid over time'!B39,'MAIN DATASET'!C:C,"&gt;=6/1/2022",'MAIN DATASET'!C:C,"&lt;=6/30/2022")/1000000000</f>
        <v>10.416666666666666</v>
      </c>
      <c r="I39" s="512">
        <f>SUMIFS('MAIN DATASET'!R:R,'MAIN DATASET'!B:B,'Aid over time'!B39,'MAIN DATASET'!C:C,"&gt;=7/1/2022",'MAIN DATASET'!C:C,"&lt;=7/31/2022")/1000000000</f>
        <v>3.7878787878787876</v>
      </c>
      <c r="J39" s="513">
        <f t="shared" si="0"/>
        <v>42.614541118575758</v>
      </c>
      <c r="K39" s="520"/>
      <c r="L39" s="520"/>
      <c r="M39" s="520"/>
      <c r="N39" s="520"/>
      <c r="O39" s="520"/>
      <c r="Q39" s="522"/>
    </row>
    <row r="40" spans="1:17">
      <c r="B40" s="94" t="s">
        <v>456</v>
      </c>
      <c r="C40" s="513">
        <f>SUMIFS('MAIN DATASET'!R:R,'MAIN DATASET'!B:B,'Aid over time'!B40,'MAIN DATASET'!C:C,"&gt;=1/1/2022",'MAIN DATASET'!C:C,"&lt;=1/31/2022")/1000000000</f>
        <v>0</v>
      </c>
      <c r="D40" s="94">
        <f>SUMIFS('MAIN DATASET'!R:R,'MAIN DATASET'!B:B,'Aid over time'!B40,'MAIN DATASET'!C:C,"&gt;=2/1/2022",'MAIN DATASET'!C:C,"&lt;=2/28/2022")/1000000000</f>
        <v>0</v>
      </c>
      <c r="E40" s="94">
        <f>SUMIFS('MAIN DATASET'!R:R,'MAIN DATASET'!B:B,'Aid over time'!B40,'MAIN DATASET'!C:C,"&gt;=3/1/2022",'MAIN DATASET'!C:C,"&lt;=3/31/2022")/1000000000</f>
        <v>2.1217307665106011E-3</v>
      </c>
      <c r="F40" s="94">
        <f>SUMIFS('MAIN DATASET'!R:R,'MAIN DATASET'!B:B,'Aid over time'!B40,'MAIN DATASET'!C:C,"&gt;=4/1/2022",'MAIN DATASET'!C:C,"&lt;=4/30/2022")/1000000000</f>
        <v>0</v>
      </c>
      <c r="G40" s="512">
        <f>SUMIFS('MAIN DATASET'!R:R,'MAIN DATASET'!B:B,'Aid over time'!B40,'MAIN DATASET'!C:C,"&gt;=5/1/2022",'MAIN DATASET'!C:C,"&lt;=5/31/2022")/1000000000</f>
        <v>0</v>
      </c>
      <c r="H40" s="512">
        <f>SUMIFS('MAIN DATASET'!R:R,'MAIN DATASET'!B:B,'Aid over time'!B40,'MAIN DATASET'!C:C,"&gt;=6/1/2022",'MAIN DATASET'!C:C,"&lt;=6/30/2022")/1000000000</f>
        <v>0</v>
      </c>
      <c r="I40" s="512">
        <f>SUMIFS('MAIN DATASET'!R:R,'MAIN DATASET'!B:B,'Aid over time'!B40,'MAIN DATASET'!C:C,"&gt;=7/1/2022",'MAIN DATASET'!C:C,"&lt;=7/31/2022")/1000000000</f>
        <v>0</v>
      </c>
      <c r="J40" s="513">
        <f t="shared" si="0"/>
        <v>2.1217307665106011E-3</v>
      </c>
      <c r="K40" s="512"/>
      <c r="L40" s="512"/>
      <c r="M40" s="512"/>
      <c r="N40" s="512"/>
      <c r="O40" s="512"/>
      <c r="Q40" s="517"/>
    </row>
    <row r="41" spans="1:17">
      <c r="B41" s="94" t="s">
        <v>1721</v>
      </c>
      <c r="C41" s="513">
        <f>SUMIFS('MAIN DATASET'!R:R,'MAIN DATASET'!B:B,'Aid over time'!B41,'MAIN DATASET'!C:C,"&gt;=1/1/2022",'MAIN DATASET'!C:C,"&lt;=1/31/2022")/1000000000</f>
        <v>0</v>
      </c>
      <c r="D41" s="94">
        <f>SUMIFS('MAIN DATASET'!R:R,'MAIN DATASET'!B:B,'Aid over time'!B41,'MAIN DATASET'!C:C,"&gt;=2/1/2022",'MAIN DATASET'!C:C,"&lt;=2/28/2022")/1000000000</f>
        <v>0</v>
      </c>
      <c r="E41" s="94">
        <f>SUMIFS('MAIN DATASET'!R:R,'MAIN DATASET'!B:B,'Aid over time'!B41,'MAIN DATASET'!C:C,"&gt;=3/1/2022",'MAIN DATASET'!C:C,"&lt;=3/31/2022")/1000000000</f>
        <v>0</v>
      </c>
      <c r="F41" s="94">
        <f>SUMIFS('MAIN DATASET'!R:R,'MAIN DATASET'!B:B,'Aid over time'!B41,'MAIN DATASET'!C:C,"&gt;=4/1/2022",'MAIN DATASET'!C:C,"&lt;=4/30/2022")/1000000000</f>
        <v>7.5757575757575751E-3</v>
      </c>
      <c r="G41" s="512">
        <f>SUMIFS('MAIN DATASET'!R:R,'MAIN DATASET'!B:B,'Aid over time'!B41,'MAIN DATASET'!C:C,"&gt;=5/1/2022",'MAIN DATASET'!C:C,"&lt;=5/31/2022")/1000000000</f>
        <v>0</v>
      </c>
      <c r="H41" s="512">
        <f>SUMIFS('MAIN DATASET'!R:R,'MAIN DATASET'!B:B,'Aid over time'!B41,'MAIN DATASET'!C:C,"&gt;=6/1/2022",'MAIN DATASET'!C:C,"&lt;=6/30/2022")/1000000000</f>
        <v>4.2613636363636369E-3</v>
      </c>
      <c r="I41" s="512">
        <f>SUMIFS('MAIN DATASET'!R:R,'MAIN DATASET'!B:B,'Aid over time'!B41,'MAIN DATASET'!C:C,"&gt;=7/1/2022",'MAIN DATASET'!C:C,"&lt;=7/31/2022")/1000000000</f>
        <v>0</v>
      </c>
      <c r="J41" s="513">
        <f t="shared" si="0"/>
        <v>1.1837121212121212E-2</v>
      </c>
      <c r="K41" s="512"/>
      <c r="L41" s="512"/>
      <c r="M41" s="512"/>
      <c r="N41" s="512"/>
      <c r="O41" s="512"/>
      <c r="Q41" s="517"/>
    </row>
    <row r="42" spans="1:17">
      <c r="B42" s="94" t="s">
        <v>998</v>
      </c>
      <c r="C42" s="513">
        <f>SUMIFS('MAIN DATASET'!R:R,'MAIN DATASET'!B:B,'Aid over time'!B42,'MAIN DATASET'!C:C,"&gt;=1/1/2022",'MAIN DATASET'!C:C,"&lt;=1/31/2022")/1000000000</f>
        <v>0</v>
      </c>
      <c r="D42" s="94">
        <f>SUMIFS('MAIN DATASET'!R:R,'MAIN DATASET'!B:B,'Aid over time'!B42,'MAIN DATASET'!C:C,"&gt;=2/1/2022",'MAIN DATASET'!C:C,"&lt;=2/28/2022")/1000000000</f>
        <v>0</v>
      </c>
      <c r="E42" s="94">
        <f>SUMIFS('MAIN DATASET'!R:R,'MAIN DATASET'!B:B,'Aid over time'!B42,'MAIN DATASET'!C:C,"&gt;=3/1/2022",'MAIN DATASET'!C:C,"&lt;=3/31/2022")/1000000000</f>
        <v>0</v>
      </c>
      <c r="F42" s="94">
        <f>SUMIFS('MAIN DATASET'!R:R,'MAIN DATASET'!B:B,'Aid over time'!B42,'MAIN DATASET'!C:C,"&gt;=4/1/2022",'MAIN DATASET'!C:C,"&lt;=4/30/2022")/1000000000</f>
        <v>0</v>
      </c>
      <c r="G42" s="512">
        <f>SUMIFS('MAIN DATASET'!R:R,'MAIN DATASET'!B:B,'Aid over time'!B42,'MAIN DATASET'!C:C,"&gt;=5/1/2022",'MAIN DATASET'!C:C,"&lt;=5/31/2022")/1000000000</f>
        <v>0</v>
      </c>
      <c r="H42" s="512">
        <f>SUMIFS('MAIN DATASET'!R:R,'MAIN DATASET'!B:B,'Aid over time'!B42,'MAIN DATASET'!C:C,"&gt;=6/1/2022",'MAIN DATASET'!C:C,"&lt;=6/30/2022")/1000000000</f>
        <v>0</v>
      </c>
      <c r="I42" s="512">
        <f>SUMIFS('MAIN DATASET'!R:R,'MAIN DATASET'!B:B,'Aid over time'!B42,'MAIN DATASET'!C:C,"&gt;=7/1/2022",'MAIN DATASET'!C:C,"&lt;=7/31/2022")/1000000000</f>
        <v>0</v>
      </c>
      <c r="J42" s="513">
        <f t="shared" si="0"/>
        <v>0</v>
      </c>
      <c r="K42" s="512"/>
      <c r="L42" s="512"/>
      <c r="M42" s="512"/>
      <c r="N42" s="512"/>
      <c r="O42" s="512"/>
      <c r="Q42" s="517"/>
    </row>
    <row r="43" spans="1:17">
      <c r="G43" s="512"/>
      <c r="H43" s="512"/>
      <c r="I43" s="512"/>
      <c r="J43" s="516"/>
      <c r="K43" s="512"/>
      <c r="L43" s="512"/>
      <c r="M43" s="512"/>
      <c r="N43" s="512"/>
      <c r="O43" s="512"/>
      <c r="Q43" s="517"/>
    </row>
    <row r="44" spans="1:17">
      <c r="B44" s="512"/>
      <c r="K44" s="512"/>
      <c r="L44" s="512"/>
      <c r="M44" s="512"/>
      <c r="N44" s="512"/>
      <c r="O44" s="512"/>
      <c r="Q44" s="517"/>
    </row>
    <row r="45" spans="1:17">
      <c r="C45" s="131" t="s">
        <v>2827</v>
      </c>
      <c r="D45" s="94" t="s">
        <v>2828</v>
      </c>
      <c r="E45" s="94" t="s">
        <v>2829</v>
      </c>
      <c r="F45" s="94" t="s">
        <v>2830</v>
      </c>
      <c r="G45" s="512" t="s">
        <v>2831</v>
      </c>
      <c r="H45" s="512" t="s">
        <v>2832</v>
      </c>
      <c r="I45" s="512" t="s">
        <v>2833</v>
      </c>
      <c r="J45" s="516"/>
      <c r="K45" s="512"/>
      <c r="L45" s="512"/>
      <c r="M45" s="512"/>
      <c r="N45" s="512"/>
      <c r="O45" s="512"/>
      <c r="Q45" s="517"/>
    </row>
    <row r="46" spans="1:17">
      <c r="B46" s="94" t="s">
        <v>2834</v>
      </c>
      <c r="C46" s="131">
        <f>SUM(C2:C42)</f>
        <v>0.28814185445142226</v>
      </c>
      <c r="D46" s="131">
        <f t="shared" ref="D46:I46" si="1">SUM(D2:D42)</f>
        <v>9.6299818134184978</v>
      </c>
      <c r="E46" s="131">
        <f t="shared" si="1"/>
        <v>7.3298977099987193</v>
      </c>
      <c r="F46" s="131">
        <f t="shared" si="1"/>
        <v>13.09750311216353</v>
      </c>
      <c r="G46" s="131">
        <f t="shared" si="1"/>
        <v>26.199032601151885</v>
      </c>
      <c r="H46" s="131">
        <f t="shared" si="1"/>
        <v>12.796704567947938</v>
      </c>
      <c r="I46" s="131">
        <f t="shared" si="1"/>
        <v>4.0274078450757571</v>
      </c>
      <c r="J46" s="516"/>
      <c r="K46" s="512"/>
      <c r="L46" s="512"/>
      <c r="M46" s="512"/>
      <c r="N46" s="512"/>
      <c r="O46" s="512"/>
      <c r="Q46" s="517"/>
    </row>
    <row r="47" spans="1:17">
      <c r="B47" s="94" t="s">
        <v>2835</v>
      </c>
      <c r="C47" s="131">
        <f>C46/38</f>
        <v>7.5826803803005858E-3</v>
      </c>
      <c r="D47" s="131">
        <f t="shared" ref="D47:I47" si="2">D46/38</f>
        <v>0.25342057403732887</v>
      </c>
      <c r="E47" s="131">
        <f t="shared" si="2"/>
        <v>0.19289204499996629</v>
      </c>
      <c r="F47" s="131">
        <f t="shared" si="2"/>
        <v>0.34467113453061921</v>
      </c>
      <c r="G47" s="131">
        <f t="shared" si="2"/>
        <v>0.68944822634610226</v>
      </c>
      <c r="H47" s="131">
        <f t="shared" si="2"/>
        <v>0.33675538336705096</v>
      </c>
      <c r="I47" s="131">
        <f t="shared" si="2"/>
        <v>0.10598441697567781</v>
      </c>
      <c r="J47" s="516"/>
      <c r="K47" s="512"/>
      <c r="L47" s="512"/>
      <c r="M47" s="512"/>
      <c r="N47" s="512"/>
      <c r="O47" s="512"/>
      <c r="Q47" s="517"/>
    </row>
    <row r="48" spans="1:17">
      <c r="G48" s="512"/>
      <c r="H48" s="512"/>
      <c r="I48" s="512"/>
      <c r="J48" s="516"/>
      <c r="K48" s="512"/>
      <c r="L48" s="512"/>
      <c r="M48" s="512"/>
      <c r="N48" s="512"/>
      <c r="O48" s="512"/>
      <c r="Q48" s="517"/>
    </row>
    <row r="49" spans="2:17">
      <c r="G49" s="512"/>
      <c r="H49" s="512"/>
      <c r="I49" s="512"/>
      <c r="J49" s="516"/>
      <c r="K49" s="512"/>
      <c r="L49" s="512"/>
      <c r="M49" s="512"/>
      <c r="N49" s="512"/>
      <c r="O49" s="512"/>
      <c r="Q49" s="517"/>
    </row>
    <row r="50" spans="2:17">
      <c r="B50" s="132"/>
      <c r="G50" s="512"/>
      <c r="H50" s="512"/>
      <c r="I50" s="512"/>
      <c r="J50" s="516"/>
      <c r="K50" s="512"/>
      <c r="L50" s="512"/>
      <c r="M50" s="512"/>
      <c r="N50" s="512"/>
      <c r="O50" s="512"/>
      <c r="Q50" s="517"/>
    </row>
    <row r="51" spans="2:17">
      <c r="G51" s="512"/>
      <c r="H51" s="512"/>
      <c r="I51" s="512"/>
      <c r="J51" s="516"/>
      <c r="K51" s="512"/>
      <c r="L51" s="512"/>
      <c r="M51" s="512"/>
      <c r="N51" s="512"/>
      <c r="O51" s="512"/>
      <c r="Q51" s="517"/>
    </row>
    <row r="52" spans="2:17">
      <c r="B52" s="109"/>
      <c r="G52" s="512"/>
      <c r="H52" s="512"/>
      <c r="I52" s="512"/>
      <c r="J52" s="516"/>
      <c r="K52" s="512"/>
      <c r="L52" s="512"/>
      <c r="M52" s="512"/>
      <c r="N52" s="512"/>
      <c r="O52" s="512"/>
      <c r="Q52" s="517"/>
    </row>
    <row r="53" spans="2:17">
      <c r="G53" s="512"/>
      <c r="H53" s="512"/>
      <c r="I53" s="512"/>
      <c r="J53" s="516"/>
      <c r="K53" s="512"/>
      <c r="L53" s="512"/>
      <c r="M53" s="512"/>
      <c r="N53" s="512"/>
      <c r="O53" s="512"/>
      <c r="Q53" s="517"/>
    </row>
    <row r="54" spans="2:17">
      <c r="G54" s="512"/>
      <c r="H54" s="512"/>
      <c r="I54" s="512"/>
      <c r="J54" s="516"/>
      <c r="K54" s="512"/>
      <c r="L54" s="512"/>
      <c r="M54" s="512"/>
      <c r="N54" s="512"/>
      <c r="O54" s="512"/>
      <c r="Q54" s="517"/>
    </row>
    <row r="55" spans="2:17">
      <c r="G55" s="512"/>
      <c r="H55" s="512"/>
      <c r="I55" s="512"/>
      <c r="J55" s="516"/>
      <c r="K55" s="512"/>
      <c r="L55" s="512"/>
      <c r="M55" s="512"/>
      <c r="N55" s="512"/>
      <c r="O55" s="512"/>
      <c r="Q55" s="517"/>
    </row>
    <row r="56" spans="2:17">
      <c r="G56" s="512"/>
      <c r="H56" s="512"/>
      <c r="I56" s="512"/>
      <c r="J56" s="516"/>
      <c r="K56" s="512"/>
      <c r="L56" s="512"/>
      <c r="M56" s="512"/>
      <c r="N56" s="512"/>
      <c r="O56" s="512"/>
      <c r="Q56" s="517"/>
    </row>
    <row r="57" spans="2:17">
      <c r="G57" s="512"/>
      <c r="H57" s="512"/>
      <c r="I57" s="512"/>
      <c r="J57" s="516"/>
      <c r="K57" s="512"/>
      <c r="L57" s="512"/>
      <c r="M57" s="512"/>
      <c r="N57" s="512"/>
      <c r="O57" s="512"/>
      <c r="Q57" s="517"/>
    </row>
    <row r="58" spans="2:17">
      <c r="G58" s="512"/>
      <c r="H58" s="512"/>
      <c r="I58" s="512"/>
      <c r="J58" s="516"/>
      <c r="K58" s="512"/>
      <c r="L58" s="512"/>
      <c r="M58" s="512"/>
      <c r="N58" s="512"/>
      <c r="O58" s="512"/>
      <c r="Q58" s="517"/>
    </row>
    <row r="59" spans="2:17">
      <c r="G59" s="512"/>
      <c r="H59" s="512"/>
      <c r="I59" s="512"/>
      <c r="J59" s="516"/>
      <c r="K59" s="512"/>
      <c r="L59" s="512"/>
      <c r="M59" s="512"/>
      <c r="N59" s="512"/>
      <c r="O59" s="512"/>
      <c r="Q59" s="517"/>
    </row>
    <row r="60" spans="2:17">
      <c r="G60" s="512"/>
      <c r="H60" s="512"/>
      <c r="I60" s="512"/>
      <c r="J60" s="516"/>
      <c r="K60" s="512"/>
      <c r="L60" s="512"/>
      <c r="M60" s="512"/>
      <c r="N60" s="512"/>
      <c r="O60" s="512"/>
      <c r="Q60" s="517"/>
    </row>
    <row r="61" spans="2:17">
      <c r="G61" s="512"/>
      <c r="H61" s="512"/>
      <c r="I61" s="512"/>
      <c r="J61" s="516"/>
      <c r="K61" s="512"/>
      <c r="L61" s="512"/>
      <c r="M61" s="512"/>
      <c r="N61" s="512"/>
      <c r="O61" s="512"/>
      <c r="Q61" s="517"/>
    </row>
    <row r="62" spans="2:17">
      <c r="G62" s="512"/>
      <c r="H62" s="512"/>
      <c r="I62" s="512"/>
      <c r="J62" s="516"/>
      <c r="K62" s="512"/>
      <c r="L62" s="512"/>
      <c r="M62" s="512"/>
      <c r="N62" s="512"/>
      <c r="O62" s="512"/>
      <c r="Q62" s="517"/>
    </row>
    <row r="63" spans="2:17">
      <c r="G63" s="512"/>
      <c r="H63" s="512"/>
      <c r="I63" s="512"/>
      <c r="J63" s="516"/>
      <c r="K63" s="512"/>
      <c r="L63" s="512"/>
      <c r="M63" s="512"/>
      <c r="N63" s="512"/>
      <c r="O63" s="512"/>
      <c r="Q63" s="517"/>
    </row>
    <row r="64" spans="2:17">
      <c r="G64" s="512"/>
      <c r="H64" s="512"/>
      <c r="I64" s="512"/>
      <c r="J64" s="516"/>
      <c r="K64" s="512"/>
      <c r="L64" s="512"/>
      <c r="M64" s="512"/>
      <c r="N64" s="512"/>
      <c r="O64" s="512"/>
      <c r="Q64" s="517"/>
    </row>
    <row r="65" spans="7:17">
      <c r="G65" s="512"/>
      <c r="H65" s="512"/>
      <c r="I65" s="512"/>
      <c r="J65" s="516"/>
      <c r="K65" s="512"/>
      <c r="L65" s="512"/>
      <c r="M65" s="512"/>
      <c r="N65" s="512"/>
      <c r="O65" s="512"/>
      <c r="Q65" s="517"/>
    </row>
    <row r="66" spans="7:17">
      <c r="G66" s="512"/>
      <c r="H66" s="512"/>
      <c r="I66" s="512"/>
      <c r="J66" s="516"/>
      <c r="K66" s="512"/>
      <c r="L66" s="512"/>
      <c r="M66" s="512"/>
      <c r="N66" s="512"/>
      <c r="O66" s="512"/>
      <c r="Q66" s="517"/>
    </row>
    <row r="67" spans="7:17">
      <c r="G67" s="512"/>
      <c r="H67" s="512"/>
      <c r="I67" s="512"/>
      <c r="J67" s="516"/>
      <c r="K67" s="512"/>
      <c r="L67" s="512"/>
      <c r="M67" s="512"/>
      <c r="N67" s="512"/>
      <c r="O67" s="512"/>
      <c r="Q67" s="517"/>
    </row>
    <row r="68" spans="7:17">
      <c r="G68" s="512"/>
      <c r="H68" s="512"/>
      <c r="I68" s="512"/>
      <c r="J68" s="516"/>
      <c r="K68" s="512"/>
      <c r="L68" s="512"/>
      <c r="M68" s="512"/>
      <c r="N68" s="512"/>
      <c r="O68" s="512"/>
      <c r="Q68" s="517"/>
    </row>
    <row r="69" spans="7:17">
      <c r="G69" s="512"/>
      <c r="H69" s="512"/>
      <c r="I69" s="512"/>
      <c r="J69" s="516"/>
      <c r="K69" s="512"/>
      <c r="L69" s="512"/>
      <c r="M69" s="512"/>
      <c r="N69" s="512"/>
      <c r="O69" s="512"/>
      <c r="Q69" s="517"/>
    </row>
    <row r="70" spans="7:17">
      <c r="G70" s="512"/>
      <c r="H70" s="512"/>
      <c r="I70" s="512"/>
      <c r="J70" s="516"/>
      <c r="K70" s="512"/>
      <c r="L70" s="512"/>
      <c r="M70" s="512"/>
      <c r="N70" s="512"/>
      <c r="O70" s="512"/>
      <c r="Q70" s="517"/>
    </row>
    <row r="71" spans="7:17">
      <c r="G71" s="512"/>
      <c r="H71" s="512"/>
      <c r="I71" s="512"/>
      <c r="J71" s="516"/>
      <c r="K71" s="512"/>
      <c r="L71" s="512"/>
      <c r="M71" s="512"/>
      <c r="N71" s="512"/>
      <c r="O71" s="512"/>
      <c r="Q71" s="517"/>
    </row>
    <row r="72" spans="7:17">
      <c r="G72" s="512"/>
      <c r="H72" s="512"/>
      <c r="I72" s="512"/>
      <c r="J72" s="516"/>
      <c r="K72" s="512"/>
      <c r="L72" s="512"/>
      <c r="M72" s="512"/>
      <c r="N72" s="512"/>
      <c r="O72" s="512"/>
      <c r="Q72" s="517"/>
    </row>
    <row r="73" spans="7:17">
      <c r="G73" s="512"/>
      <c r="H73" s="512"/>
      <c r="I73" s="512"/>
      <c r="J73" s="516"/>
      <c r="K73" s="512"/>
      <c r="L73" s="512"/>
      <c r="M73" s="512"/>
      <c r="N73" s="512"/>
      <c r="O73" s="512"/>
      <c r="Q73" s="517"/>
    </row>
    <row r="74" spans="7:17">
      <c r="G74" s="512"/>
      <c r="H74" s="512"/>
      <c r="I74" s="512"/>
      <c r="J74" s="516"/>
      <c r="K74" s="512"/>
      <c r="L74" s="512"/>
      <c r="M74" s="512"/>
      <c r="N74" s="512"/>
      <c r="O74" s="512"/>
      <c r="Q74" s="517"/>
    </row>
    <row r="75" spans="7:17">
      <c r="G75" s="512"/>
      <c r="H75" s="512"/>
      <c r="I75" s="512"/>
      <c r="J75" s="512"/>
      <c r="K75" s="512"/>
      <c r="L75" s="512"/>
      <c r="M75" s="512"/>
      <c r="N75" s="512"/>
      <c r="O75" s="512"/>
      <c r="Q75" s="517"/>
    </row>
    <row r="76" spans="7:17">
      <c r="G76" s="512"/>
      <c r="H76" s="512"/>
      <c r="I76" s="512"/>
      <c r="J76" s="516"/>
      <c r="K76" s="512"/>
      <c r="L76" s="512"/>
      <c r="M76" s="512"/>
      <c r="N76" s="512"/>
      <c r="O76" s="512"/>
      <c r="Q76" s="517"/>
    </row>
    <row r="77" spans="7:17">
      <c r="G77" s="512"/>
      <c r="H77" s="512"/>
      <c r="I77" s="512"/>
      <c r="J77" s="516"/>
      <c r="K77" s="512"/>
      <c r="L77" s="512"/>
      <c r="M77" s="512"/>
      <c r="N77" s="512"/>
      <c r="O77" s="512"/>
      <c r="Q77" s="517"/>
    </row>
    <row r="78" spans="7:17">
      <c r="G78" s="512"/>
      <c r="H78" s="512"/>
      <c r="I78" s="512"/>
      <c r="J78" s="516"/>
      <c r="K78" s="512"/>
      <c r="L78" s="512"/>
      <c r="M78" s="512"/>
      <c r="N78" s="512"/>
      <c r="O78" s="512"/>
      <c r="Q78" s="517"/>
    </row>
    <row r="79" spans="7:17">
      <c r="G79" s="512"/>
      <c r="H79" s="512"/>
      <c r="I79" s="512"/>
      <c r="J79" s="516"/>
      <c r="K79" s="512"/>
      <c r="L79" s="512"/>
      <c r="M79" s="512"/>
      <c r="N79" s="512"/>
      <c r="O79" s="512"/>
      <c r="Q79" s="517"/>
    </row>
    <row r="80" spans="7:17">
      <c r="G80" s="512"/>
      <c r="H80" s="512"/>
      <c r="I80" s="512"/>
      <c r="J80" s="516"/>
      <c r="K80" s="512"/>
      <c r="L80" s="512"/>
      <c r="M80" s="512"/>
      <c r="N80" s="512"/>
      <c r="O80" s="512"/>
      <c r="Q80" s="517"/>
    </row>
    <row r="81" spans="7:17">
      <c r="G81" s="512"/>
      <c r="H81" s="512"/>
      <c r="I81" s="512"/>
      <c r="J81" s="516"/>
      <c r="K81" s="512"/>
      <c r="L81" s="512"/>
      <c r="M81" s="512"/>
      <c r="N81" s="512"/>
      <c r="O81" s="512"/>
      <c r="Q81" s="517"/>
    </row>
    <row r="82" spans="7:17">
      <c r="G82" s="512"/>
      <c r="H82" s="512"/>
      <c r="I82" s="512"/>
      <c r="J82" s="516"/>
      <c r="K82" s="512"/>
      <c r="L82" s="512"/>
      <c r="M82" s="512"/>
      <c r="N82" s="512"/>
      <c r="O82" s="512"/>
      <c r="Q82" s="517"/>
    </row>
    <row r="83" spans="7:17">
      <c r="G83" s="512"/>
      <c r="H83" s="512"/>
      <c r="I83" s="512"/>
      <c r="J83" s="516"/>
      <c r="K83" s="512"/>
      <c r="L83" s="512"/>
      <c r="M83" s="512"/>
      <c r="N83" s="512"/>
      <c r="O83" s="512"/>
      <c r="Q83" s="517"/>
    </row>
    <row r="84" spans="7:17">
      <c r="G84" s="512"/>
      <c r="H84" s="512"/>
      <c r="I84" s="512"/>
      <c r="J84" s="516"/>
      <c r="K84" s="512"/>
      <c r="L84" s="512"/>
      <c r="M84" s="512"/>
      <c r="N84" s="512"/>
      <c r="O84" s="512"/>
      <c r="Q84" s="517"/>
    </row>
    <row r="85" spans="7:17">
      <c r="G85" s="512"/>
      <c r="H85" s="512"/>
      <c r="I85" s="512"/>
      <c r="J85" s="516"/>
      <c r="K85" s="512"/>
      <c r="L85" s="512"/>
      <c r="M85" s="512"/>
      <c r="N85" s="512"/>
      <c r="O85" s="512"/>
      <c r="Q85" s="517"/>
    </row>
    <row r="86" spans="7:17">
      <c r="G86" s="512"/>
      <c r="H86" s="512"/>
      <c r="I86" s="512"/>
      <c r="J86" s="516"/>
      <c r="K86" s="512"/>
      <c r="L86" s="512"/>
      <c r="M86" s="512"/>
      <c r="N86" s="512"/>
      <c r="O86" s="512"/>
      <c r="Q86" s="517"/>
    </row>
    <row r="87" spans="7:17">
      <c r="G87" s="512"/>
      <c r="H87" s="512"/>
      <c r="I87" s="512"/>
      <c r="J87" s="516"/>
      <c r="K87" s="512"/>
      <c r="L87" s="512"/>
      <c r="M87" s="512"/>
      <c r="N87" s="512"/>
      <c r="O87" s="512"/>
      <c r="Q87" s="517"/>
    </row>
    <row r="88" spans="7:17">
      <c r="G88" s="512"/>
      <c r="H88" s="512"/>
      <c r="I88" s="512"/>
      <c r="J88" s="516"/>
      <c r="K88" s="512"/>
      <c r="L88" s="512"/>
      <c r="M88" s="512"/>
      <c r="N88" s="512"/>
      <c r="O88" s="512"/>
      <c r="Q88" s="517"/>
    </row>
    <row r="89" spans="7:17">
      <c r="G89" s="512"/>
      <c r="H89" s="512"/>
      <c r="I89" s="512"/>
      <c r="J89" s="516"/>
      <c r="K89" s="512"/>
      <c r="L89" s="512"/>
      <c r="M89" s="512"/>
      <c r="N89" s="512"/>
      <c r="O89" s="512"/>
      <c r="Q89" s="517"/>
    </row>
    <row r="90" spans="7:17">
      <c r="G90" s="512"/>
      <c r="H90" s="512"/>
      <c r="I90" s="512"/>
      <c r="J90" s="516"/>
      <c r="K90" s="512"/>
      <c r="L90" s="512"/>
      <c r="M90" s="512"/>
      <c r="N90" s="512"/>
      <c r="O90" s="512"/>
      <c r="Q90" s="517"/>
    </row>
    <row r="91" spans="7:17">
      <c r="G91" s="512"/>
      <c r="H91" s="512"/>
      <c r="I91" s="512"/>
      <c r="J91" s="516"/>
      <c r="K91" s="512"/>
      <c r="L91" s="512"/>
      <c r="M91" s="512"/>
      <c r="N91" s="512"/>
      <c r="O91" s="512"/>
      <c r="Q91" s="517"/>
    </row>
    <row r="92" spans="7:17">
      <c r="G92" s="512"/>
      <c r="H92" s="512"/>
      <c r="I92" s="512"/>
      <c r="J92" s="516"/>
      <c r="K92" s="512"/>
      <c r="L92" s="512"/>
      <c r="M92" s="512"/>
      <c r="N92" s="512"/>
      <c r="O92" s="512"/>
      <c r="Q92" s="517"/>
    </row>
    <row r="93" spans="7:17">
      <c r="G93" s="512"/>
      <c r="H93" s="512"/>
      <c r="I93" s="512"/>
      <c r="J93" s="516"/>
      <c r="K93" s="512"/>
      <c r="L93" s="512"/>
      <c r="M93" s="512"/>
      <c r="N93" s="512"/>
      <c r="O93" s="512"/>
      <c r="Q93" s="517"/>
    </row>
    <row r="94" spans="7:17">
      <c r="G94" s="512"/>
      <c r="H94" s="512"/>
      <c r="I94" s="512"/>
      <c r="J94" s="516"/>
      <c r="K94" s="512"/>
      <c r="L94" s="512"/>
      <c r="M94" s="512"/>
      <c r="N94" s="512"/>
      <c r="O94" s="512"/>
      <c r="Q94" s="517"/>
    </row>
    <row r="95" spans="7:17">
      <c r="G95" s="512"/>
      <c r="H95" s="512"/>
      <c r="I95" s="512"/>
      <c r="J95" s="516"/>
      <c r="K95" s="512"/>
      <c r="L95" s="512"/>
      <c r="M95" s="512"/>
      <c r="N95" s="512"/>
      <c r="O95" s="512"/>
      <c r="Q95" s="517"/>
    </row>
    <row r="96" spans="7:17">
      <c r="G96" s="512"/>
      <c r="H96" s="512"/>
      <c r="I96" s="512"/>
      <c r="J96" s="516"/>
      <c r="K96" s="512"/>
      <c r="L96" s="512"/>
      <c r="M96" s="512"/>
      <c r="N96" s="512"/>
      <c r="O96" s="512"/>
      <c r="Q96" s="517"/>
    </row>
    <row r="97" spans="7:17">
      <c r="G97" s="512"/>
      <c r="H97" s="512"/>
      <c r="I97" s="512"/>
      <c r="J97" s="516"/>
      <c r="K97" s="512"/>
      <c r="L97" s="512"/>
      <c r="M97" s="512"/>
      <c r="N97" s="512"/>
      <c r="O97" s="512"/>
      <c r="Q97" s="517"/>
    </row>
    <row r="98" spans="7:17">
      <c r="G98" s="512"/>
      <c r="H98" s="512"/>
      <c r="I98" s="512"/>
      <c r="J98" s="516"/>
      <c r="K98" s="512"/>
      <c r="L98" s="512"/>
      <c r="M98" s="512"/>
      <c r="N98" s="512"/>
      <c r="O98" s="512"/>
      <c r="Q98" s="517"/>
    </row>
    <row r="99" spans="7:17">
      <c r="G99" s="512"/>
      <c r="H99" s="512"/>
      <c r="I99" s="512"/>
      <c r="J99" s="516"/>
      <c r="K99" s="512"/>
      <c r="L99" s="512"/>
      <c r="M99" s="512"/>
      <c r="N99" s="512"/>
      <c r="O99" s="512"/>
      <c r="Q99" s="517"/>
    </row>
    <row r="100" spans="7:17">
      <c r="G100" s="512"/>
      <c r="H100" s="512"/>
      <c r="I100" s="512"/>
      <c r="J100" s="516"/>
      <c r="K100" s="512"/>
      <c r="L100" s="512"/>
      <c r="M100" s="512"/>
      <c r="N100" s="512"/>
      <c r="O100" s="512"/>
      <c r="Q100" s="517"/>
    </row>
    <row r="101" spans="7:17">
      <c r="G101" s="512"/>
      <c r="H101" s="512"/>
      <c r="I101" s="512"/>
      <c r="J101" s="516"/>
      <c r="K101" s="512"/>
      <c r="L101" s="512"/>
      <c r="M101" s="512"/>
      <c r="N101" s="512"/>
      <c r="O101" s="512"/>
      <c r="Q101" s="517"/>
    </row>
    <row r="102" spans="7:17">
      <c r="G102" s="512"/>
      <c r="H102" s="512"/>
      <c r="I102" s="512"/>
      <c r="J102" s="516"/>
      <c r="K102" s="512"/>
      <c r="L102" s="512"/>
      <c r="M102" s="512"/>
      <c r="N102" s="512"/>
      <c r="O102" s="512"/>
      <c r="Q102" s="517"/>
    </row>
    <row r="103" spans="7:17">
      <c r="G103" s="512"/>
      <c r="H103" s="512"/>
      <c r="I103" s="512"/>
      <c r="J103" s="516"/>
      <c r="K103" s="512"/>
      <c r="L103" s="512"/>
      <c r="M103" s="512"/>
      <c r="N103" s="512"/>
      <c r="O103" s="512"/>
      <c r="Q103" s="517"/>
    </row>
    <row r="104" spans="7:17">
      <c r="G104" s="512"/>
      <c r="H104" s="512"/>
      <c r="I104" s="512"/>
      <c r="J104" s="516"/>
      <c r="K104" s="512"/>
      <c r="L104" s="512"/>
      <c r="M104" s="512"/>
      <c r="N104" s="512"/>
      <c r="O104" s="512"/>
      <c r="Q104" s="517"/>
    </row>
    <row r="105" spans="7:17">
      <c r="G105" s="512"/>
      <c r="H105" s="512"/>
      <c r="I105" s="512"/>
      <c r="J105" s="516"/>
      <c r="K105" s="512"/>
      <c r="L105" s="512"/>
      <c r="M105" s="512"/>
      <c r="N105" s="512"/>
      <c r="O105" s="512"/>
      <c r="Q105" s="517"/>
    </row>
    <row r="106" spans="7:17">
      <c r="G106" s="512"/>
      <c r="H106" s="512"/>
      <c r="I106" s="512"/>
      <c r="J106" s="516"/>
      <c r="K106" s="512"/>
      <c r="L106" s="512"/>
      <c r="M106" s="512"/>
      <c r="N106" s="512"/>
      <c r="O106" s="512"/>
      <c r="Q106" s="517"/>
    </row>
    <row r="107" spans="7:17">
      <c r="G107" s="512"/>
      <c r="H107" s="512"/>
      <c r="I107" s="512"/>
      <c r="J107" s="516"/>
      <c r="K107" s="512"/>
      <c r="L107" s="512"/>
      <c r="M107" s="512"/>
      <c r="N107" s="512"/>
      <c r="O107" s="512"/>
      <c r="Q107" s="517"/>
    </row>
    <row r="108" spans="7:17">
      <c r="G108" s="512"/>
      <c r="H108" s="512"/>
      <c r="I108" s="512"/>
      <c r="J108" s="516"/>
      <c r="K108" s="512"/>
      <c r="L108" s="512"/>
      <c r="M108" s="512"/>
      <c r="N108" s="512"/>
      <c r="O108" s="512"/>
      <c r="Q108" s="517"/>
    </row>
    <row r="109" spans="7:17">
      <c r="G109" s="512"/>
      <c r="H109" s="512"/>
      <c r="I109" s="512"/>
      <c r="J109" s="516"/>
      <c r="K109" s="512"/>
      <c r="L109" s="512"/>
      <c r="M109" s="512"/>
      <c r="N109" s="512"/>
      <c r="O109" s="512"/>
      <c r="Q109" s="517"/>
    </row>
    <row r="110" spans="7:17">
      <c r="G110" s="512"/>
      <c r="H110" s="512"/>
      <c r="I110" s="512"/>
      <c r="J110" s="512"/>
      <c r="K110" s="512"/>
      <c r="L110" s="512"/>
      <c r="M110" s="512"/>
      <c r="N110" s="512"/>
      <c r="O110" s="512"/>
      <c r="Q110" s="517"/>
    </row>
    <row r="111" spans="7:17">
      <c r="G111" s="512"/>
      <c r="H111" s="512"/>
      <c r="I111" s="512"/>
      <c r="J111" s="135"/>
      <c r="K111" s="512"/>
      <c r="L111" s="512"/>
      <c r="M111" s="512"/>
      <c r="N111" s="512"/>
      <c r="O111" s="512"/>
      <c r="Q111" s="517"/>
    </row>
    <row r="112" spans="7:17">
      <c r="G112" s="512"/>
      <c r="H112" s="512"/>
      <c r="I112" s="512"/>
      <c r="J112" s="516"/>
      <c r="K112" s="512"/>
      <c r="L112" s="512"/>
      <c r="M112" s="512"/>
      <c r="N112" s="512"/>
      <c r="O112" s="512"/>
      <c r="Q112" s="517"/>
    </row>
    <row r="113" spans="7:17">
      <c r="G113" s="512"/>
      <c r="H113" s="512"/>
      <c r="I113" s="512"/>
      <c r="J113" s="516"/>
      <c r="K113" s="512"/>
      <c r="L113" s="512"/>
      <c r="M113" s="512"/>
      <c r="N113" s="512"/>
      <c r="O113" s="512"/>
      <c r="Q113" s="517"/>
    </row>
    <row r="114" spans="7:17">
      <c r="G114" s="512"/>
      <c r="H114" s="512"/>
      <c r="I114" s="512"/>
      <c r="J114" s="516"/>
      <c r="K114" s="512"/>
      <c r="L114" s="512"/>
      <c r="M114" s="512"/>
      <c r="N114" s="512"/>
      <c r="O114" s="512"/>
      <c r="Q114" s="517"/>
    </row>
    <row r="115" spans="7:17">
      <c r="G115" s="512"/>
      <c r="H115" s="512"/>
      <c r="I115" s="512"/>
      <c r="J115" s="516"/>
      <c r="K115" s="512"/>
      <c r="L115" s="512"/>
      <c r="M115" s="512"/>
      <c r="N115" s="512"/>
      <c r="O115" s="512"/>
      <c r="Q115" s="517"/>
    </row>
    <row r="116" spans="7:17">
      <c r="G116" s="512"/>
      <c r="H116" s="512"/>
      <c r="I116" s="512"/>
      <c r="J116" s="525"/>
      <c r="K116" s="512"/>
      <c r="L116" s="512"/>
      <c r="M116" s="512"/>
      <c r="N116" s="512"/>
      <c r="O116" s="512"/>
      <c r="Q116" s="517"/>
    </row>
    <row r="117" spans="7:17">
      <c r="G117" s="512"/>
      <c r="H117" s="512"/>
      <c r="I117" s="512"/>
      <c r="J117" s="516"/>
      <c r="K117" s="512"/>
      <c r="L117" s="512"/>
      <c r="M117" s="512"/>
      <c r="N117" s="512"/>
      <c r="O117" s="512"/>
      <c r="Q117" s="517"/>
    </row>
    <row r="118" spans="7:17">
      <c r="G118" s="512"/>
      <c r="H118" s="512"/>
      <c r="I118" s="512"/>
      <c r="J118" s="516"/>
      <c r="K118" s="512"/>
      <c r="L118" s="512"/>
      <c r="M118" s="512"/>
      <c r="N118" s="512"/>
      <c r="O118" s="512"/>
      <c r="Q118" s="517"/>
    </row>
    <row r="119" spans="7:17">
      <c r="G119" s="512"/>
      <c r="H119" s="512"/>
      <c r="I119" s="512"/>
      <c r="J119" s="516"/>
      <c r="K119" s="512"/>
      <c r="L119" s="512"/>
      <c r="M119" s="512"/>
      <c r="N119" s="512"/>
      <c r="O119" s="512"/>
      <c r="Q119" s="517"/>
    </row>
    <row r="120" spans="7:17">
      <c r="K120" s="512"/>
      <c r="L120" s="512"/>
      <c r="M120" s="512"/>
      <c r="N120" s="512"/>
      <c r="O120" s="512"/>
      <c r="Q120" s="517"/>
    </row>
    <row r="121" spans="7:17">
      <c r="G121" s="512"/>
      <c r="H121" s="512"/>
      <c r="I121" s="512"/>
      <c r="J121" s="512"/>
      <c r="K121" s="512"/>
      <c r="L121" s="512"/>
      <c r="M121" s="512"/>
      <c r="N121" s="512"/>
      <c r="O121" s="512"/>
      <c r="Q121" s="517"/>
    </row>
    <row r="122" spans="7:17">
      <c r="G122" s="512"/>
      <c r="H122" s="512"/>
      <c r="I122" s="512"/>
      <c r="J122" s="512"/>
      <c r="K122" s="512"/>
      <c r="L122" s="512"/>
      <c r="M122" s="512"/>
      <c r="N122" s="512"/>
      <c r="O122" s="512"/>
      <c r="Q122" s="517"/>
    </row>
    <row r="123" spans="7:17">
      <c r="G123" s="512"/>
      <c r="H123" s="512"/>
      <c r="I123" s="512"/>
      <c r="J123" s="512"/>
      <c r="K123" s="512"/>
      <c r="L123" s="512"/>
      <c r="M123" s="512"/>
      <c r="N123" s="512"/>
      <c r="O123" s="512"/>
      <c r="Q123" s="517"/>
    </row>
    <row r="124" spans="7:17">
      <c r="G124" s="512"/>
      <c r="H124" s="512"/>
      <c r="I124" s="512"/>
      <c r="J124" s="512"/>
      <c r="K124" s="512"/>
      <c r="L124" s="512"/>
      <c r="M124" s="512"/>
      <c r="N124" s="512"/>
      <c r="O124" s="512"/>
      <c r="Q124" s="517"/>
    </row>
    <row r="125" spans="7:17">
      <c r="G125" s="512"/>
      <c r="H125" s="512"/>
      <c r="I125" s="512"/>
      <c r="J125" s="512"/>
      <c r="K125" s="512"/>
      <c r="L125" s="512"/>
      <c r="M125" s="512"/>
      <c r="N125" s="512"/>
      <c r="O125" s="512"/>
      <c r="Q125" s="517"/>
    </row>
    <row r="126" spans="7:17">
      <c r="G126" s="512"/>
      <c r="H126" s="512"/>
      <c r="I126" s="512"/>
      <c r="J126" s="512"/>
      <c r="K126" s="512"/>
      <c r="L126" s="512"/>
      <c r="M126" s="512"/>
      <c r="N126" s="512"/>
      <c r="O126" s="512"/>
      <c r="Q126" s="517"/>
    </row>
    <row r="127" spans="7:17">
      <c r="G127" s="512"/>
      <c r="H127" s="512"/>
      <c r="I127" s="512"/>
      <c r="J127" s="512"/>
      <c r="K127" s="512"/>
      <c r="L127" s="512"/>
      <c r="M127" s="512"/>
      <c r="N127" s="512"/>
      <c r="O127" s="512"/>
      <c r="Q127" s="517"/>
    </row>
    <row r="128" spans="7:17">
      <c r="G128" s="512"/>
      <c r="H128" s="512"/>
      <c r="I128" s="512"/>
      <c r="J128" s="512"/>
      <c r="K128" s="512"/>
      <c r="L128" s="512"/>
      <c r="M128" s="512"/>
      <c r="N128" s="512"/>
      <c r="O128" s="512"/>
      <c r="Q128" s="517"/>
    </row>
    <row r="129" spans="7:17">
      <c r="G129" s="512"/>
      <c r="H129" s="512"/>
      <c r="I129" s="512"/>
      <c r="J129" s="512"/>
      <c r="K129" s="512"/>
      <c r="L129" s="512"/>
      <c r="M129" s="512"/>
      <c r="N129" s="512"/>
      <c r="O129" s="512"/>
      <c r="Q129" s="517"/>
    </row>
    <row r="130" spans="7:17">
      <c r="G130" s="512"/>
      <c r="H130" s="512"/>
      <c r="I130" s="512"/>
      <c r="J130" s="512"/>
      <c r="K130" s="512"/>
      <c r="L130" s="512"/>
      <c r="M130" s="512"/>
      <c r="N130" s="512"/>
      <c r="O130" s="512"/>
      <c r="Q130" s="517"/>
    </row>
    <row r="131" spans="7:17">
      <c r="G131" s="512"/>
      <c r="H131" s="512"/>
      <c r="I131" s="512"/>
      <c r="J131" s="512"/>
      <c r="K131" s="512"/>
      <c r="L131" s="512"/>
      <c r="M131" s="512"/>
      <c r="N131" s="512"/>
      <c r="O131" s="512"/>
      <c r="Q131" s="517"/>
    </row>
    <row r="132" spans="7:17">
      <c r="G132" s="512"/>
      <c r="H132" s="512"/>
      <c r="I132" s="512"/>
      <c r="J132" s="512"/>
      <c r="K132" s="512"/>
      <c r="L132" s="512"/>
      <c r="M132" s="512"/>
      <c r="N132" s="512"/>
      <c r="O132" s="512"/>
      <c r="Q132" s="517"/>
    </row>
    <row r="133" spans="7:17">
      <c r="G133" s="512"/>
      <c r="H133" s="512"/>
      <c r="I133" s="512"/>
      <c r="J133" s="512"/>
      <c r="K133" s="512"/>
      <c r="L133" s="512"/>
      <c r="M133" s="512"/>
      <c r="N133" s="512"/>
      <c r="O133" s="512"/>
      <c r="Q133" s="517"/>
    </row>
    <row r="134" spans="7:17">
      <c r="G134" s="512"/>
      <c r="H134" s="512"/>
      <c r="I134" s="512"/>
      <c r="J134" s="512"/>
      <c r="K134" s="512"/>
      <c r="L134" s="512"/>
      <c r="M134" s="512"/>
      <c r="N134" s="512"/>
      <c r="O134" s="512"/>
      <c r="Q134" s="517"/>
    </row>
    <row r="135" spans="7:17">
      <c r="G135" s="512"/>
      <c r="H135" s="512"/>
      <c r="I135" s="512"/>
      <c r="J135" s="512"/>
      <c r="K135" s="512"/>
      <c r="L135" s="512"/>
      <c r="M135" s="512"/>
      <c r="N135" s="512"/>
      <c r="O135" s="512"/>
      <c r="Q135" s="517"/>
    </row>
    <row r="136" spans="7:17">
      <c r="G136" s="512"/>
      <c r="H136" s="512"/>
      <c r="I136" s="512"/>
      <c r="J136" s="512"/>
      <c r="K136" s="512"/>
      <c r="L136" s="512"/>
      <c r="M136" s="512"/>
      <c r="N136" s="512"/>
      <c r="O136" s="512"/>
      <c r="Q136" s="517"/>
    </row>
    <row r="137" spans="7:17">
      <c r="G137" s="512"/>
      <c r="H137" s="512"/>
      <c r="I137" s="512"/>
      <c r="J137" s="512"/>
      <c r="K137" s="512"/>
      <c r="L137" s="512"/>
      <c r="M137" s="512"/>
      <c r="N137" s="512"/>
      <c r="O137" s="512"/>
      <c r="Q137" s="517"/>
    </row>
    <row r="138" spans="7:17">
      <c r="G138" s="512"/>
      <c r="H138" s="512"/>
      <c r="I138" s="512"/>
      <c r="J138" s="512"/>
      <c r="K138" s="512"/>
      <c r="L138" s="512"/>
      <c r="M138" s="512"/>
      <c r="N138" s="512"/>
      <c r="O138" s="512"/>
      <c r="Q138" s="517"/>
    </row>
    <row r="139" spans="7:17">
      <c r="G139" s="512"/>
      <c r="H139" s="512"/>
      <c r="I139" s="512"/>
      <c r="J139" s="512"/>
      <c r="K139" s="512"/>
      <c r="L139" s="512"/>
      <c r="M139" s="512"/>
      <c r="N139" s="512"/>
      <c r="O139" s="512"/>
      <c r="Q139" s="517"/>
    </row>
    <row r="140" spans="7:17">
      <c r="G140" s="512"/>
      <c r="H140" s="512"/>
      <c r="I140" s="512"/>
      <c r="J140" s="512"/>
      <c r="K140" s="512"/>
      <c r="L140" s="512"/>
      <c r="M140" s="512"/>
      <c r="N140" s="512"/>
      <c r="O140" s="512"/>
      <c r="Q140" s="517"/>
    </row>
    <row r="141" spans="7:17">
      <c r="G141" s="512"/>
      <c r="H141" s="512"/>
      <c r="I141" s="512"/>
      <c r="J141" s="512"/>
      <c r="K141" s="512"/>
      <c r="L141" s="512"/>
      <c r="M141" s="512"/>
      <c r="N141" s="512"/>
      <c r="O141" s="512"/>
      <c r="Q141" s="517"/>
    </row>
    <row r="142" spans="7:17">
      <c r="G142" s="512"/>
      <c r="H142" s="512"/>
      <c r="I142" s="512"/>
      <c r="J142" s="512"/>
      <c r="K142" s="512"/>
      <c r="L142" s="512"/>
      <c r="M142" s="512"/>
      <c r="N142" s="512"/>
      <c r="O142" s="512"/>
      <c r="Q142" s="517"/>
    </row>
    <row r="143" spans="7:17">
      <c r="G143" s="512"/>
      <c r="H143" s="512"/>
      <c r="I143" s="512"/>
      <c r="J143" s="512"/>
      <c r="K143" s="512"/>
      <c r="L143" s="512"/>
      <c r="M143" s="512"/>
      <c r="N143" s="512"/>
      <c r="O143" s="512"/>
      <c r="Q143" s="517"/>
    </row>
    <row r="144" spans="7:17">
      <c r="G144" s="512"/>
      <c r="H144" s="512"/>
      <c r="I144" s="512"/>
      <c r="J144" s="512"/>
      <c r="K144" s="512"/>
      <c r="L144" s="512"/>
      <c r="M144" s="512"/>
      <c r="N144" s="512"/>
      <c r="O144" s="512"/>
      <c r="Q144" s="517"/>
    </row>
    <row r="145" spans="7:17">
      <c r="G145" s="512"/>
      <c r="H145" s="512"/>
      <c r="I145" s="512"/>
      <c r="J145" s="512"/>
      <c r="K145" s="512"/>
      <c r="L145" s="512"/>
      <c r="M145" s="512"/>
      <c r="N145" s="512"/>
      <c r="O145" s="512"/>
      <c r="Q145" s="517"/>
    </row>
    <row r="146" spans="7:17">
      <c r="G146" s="512"/>
      <c r="H146" s="512"/>
      <c r="I146" s="512"/>
      <c r="J146" s="512"/>
      <c r="K146" s="512"/>
      <c r="L146" s="512"/>
      <c r="M146" s="512"/>
      <c r="N146" s="512"/>
      <c r="O146" s="512"/>
      <c r="Q146" s="517"/>
    </row>
    <row r="147" spans="7:17">
      <c r="G147" s="512"/>
      <c r="H147" s="512"/>
      <c r="I147" s="512"/>
      <c r="J147" s="512"/>
      <c r="K147" s="512"/>
      <c r="L147" s="512"/>
      <c r="M147" s="512"/>
      <c r="N147" s="512"/>
      <c r="O147" s="512"/>
      <c r="Q147" s="517"/>
    </row>
    <row r="148" spans="7:17">
      <c r="G148" s="512"/>
      <c r="H148" s="512"/>
      <c r="I148" s="512"/>
      <c r="J148" s="512"/>
      <c r="K148" s="512"/>
      <c r="L148" s="512"/>
      <c r="M148" s="512"/>
      <c r="N148" s="512"/>
      <c r="O148" s="512"/>
      <c r="Q148" s="517"/>
    </row>
    <row r="149" spans="7:17">
      <c r="G149" s="512"/>
      <c r="H149" s="512"/>
      <c r="I149" s="512"/>
      <c r="J149" s="512"/>
      <c r="K149" s="512"/>
      <c r="L149" s="512"/>
      <c r="M149" s="512"/>
      <c r="N149" s="512"/>
      <c r="O149" s="512"/>
      <c r="Q149" s="517"/>
    </row>
    <row r="150" spans="7:17">
      <c r="G150" s="512"/>
      <c r="H150" s="512"/>
      <c r="I150" s="512"/>
      <c r="J150" s="512"/>
      <c r="K150" s="512"/>
      <c r="L150" s="512"/>
      <c r="M150" s="512"/>
      <c r="N150" s="512"/>
      <c r="O150" s="512"/>
      <c r="Q150" s="517"/>
    </row>
    <row r="151" spans="7:17">
      <c r="G151" s="512"/>
      <c r="H151" s="512"/>
      <c r="I151" s="512"/>
      <c r="J151" s="512"/>
      <c r="K151" s="512"/>
      <c r="L151" s="512"/>
      <c r="M151" s="512"/>
      <c r="N151" s="512"/>
      <c r="O151" s="512"/>
      <c r="Q151" s="517"/>
    </row>
    <row r="152" spans="7:17">
      <c r="G152" s="512"/>
      <c r="H152" s="512"/>
      <c r="I152" s="512"/>
      <c r="J152" s="512"/>
      <c r="K152" s="512"/>
      <c r="L152" s="512"/>
      <c r="M152" s="512"/>
      <c r="N152" s="512"/>
      <c r="O152" s="512"/>
      <c r="Q152" s="517"/>
    </row>
    <row r="153" spans="7:17">
      <c r="G153" s="512"/>
      <c r="H153" s="512"/>
      <c r="I153" s="512"/>
      <c r="J153" s="512"/>
      <c r="K153" s="512"/>
      <c r="L153" s="512"/>
      <c r="M153" s="512"/>
      <c r="N153" s="512"/>
      <c r="O153" s="512"/>
      <c r="Q153" s="517"/>
    </row>
    <row r="154" spans="7:17">
      <c r="G154" s="512"/>
      <c r="H154" s="512"/>
      <c r="I154" s="512"/>
      <c r="J154" s="512"/>
      <c r="K154" s="512"/>
      <c r="L154" s="512"/>
      <c r="M154" s="512"/>
      <c r="N154" s="512"/>
      <c r="O154" s="512"/>
      <c r="Q154" s="517"/>
    </row>
    <row r="155" spans="7:17">
      <c r="K155" s="512"/>
      <c r="L155" s="512"/>
      <c r="M155" s="512"/>
      <c r="N155" s="512"/>
      <c r="O155" s="512"/>
      <c r="Q155" s="517"/>
    </row>
    <row r="156" spans="7:17">
      <c r="K156" s="512"/>
      <c r="L156" s="512"/>
      <c r="M156" s="512"/>
      <c r="N156" s="512"/>
      <c r="O156" s="512"/>
      <c r="Q156" s="517"/>
    </row>
    <row r="157" spans="7:17">
      <c r="K157" s="512"/>
      <c r="L157" s="512"/>
      <c r="M157" s="512"/>
      <c r="N157" s="512"/>
      <c r="O157" s="512"/>
      <c r="Q157" s="517"/>
    </row>
    <row r="158" spans="7:17">
      <c r="K158" s="512"/>
      <c r="L158" s="512"/>
      <c r="M158" s="512"/>
      <c r="N158" s="512"/>
      <c r="O158" s="512"/>
      <c r="Q158" s="517"/>
    </row>
    <row r="159" spans="7:17">
      <c r="K159" s="512"/>
      <c r="L159" s="512"/>
      <c r="M159" s="512"/>
      <c r="N159" s="512"/>
      <c r="O159" s="512"/>
      <c r="Q159" s="517"/>
    </row>
    <row r="160" spans="7:17">
      <c r="K160" s="512"/>
      <c r="L160" s="512"/>
      <c r="M160" s="512"/>
      <c r="N160" s="512"/>
      <c r="O160" s="512"/>
      <c r="Q160" s="517"/>
    </row>
    <row r="161" spans="11:17">
      <c r="K161" s="512"/>
      <c r="L161" s="512"/>
      <c r="M161" s="512"/>
      <c r="N161" s="512"/>
      <c r="O161" s="512"/>
      <c r="Q161" s="517"/>
    </row>
    <row r="162" spans="11:17">
      <c r="K162" s="512"/>
      <c r="L162" s="512"/>
      <c r="M162" s="512"/>
      <c r="N162" s="512"/>
      <c r="O162" s="512"/>
      <c r="Q162" s="517"/>
    </row>
    <row r="163" spans="11:17">
      <c r="K163" s="512"/>
      <c r="L163" s="512"/>
      <c r="M163" s="512"/>
      <c r="N163" s="512"/>
      <c r="O163" s="512"/>
      <c r="Q163" s="517"/>
    </row>
  </sheetData>
  <mergeCells count="1">
    <mergeCell ref="T4:W7"/>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AP838"/>
  <sheetViews>
    <sheetView zoomScale="70" zoomScaleNormal="70" workbookViewId="0">
      <pane xSplit="1" ySplit="1" topLeftCell="I559" activePane="bottomRight" state="frozen"/>
      <selection pane="bottomRight" activeCell="Q572" sqref="Q572"/>
      <selection pane="bottomLeft" activeCell="A2" sqref="A2"/>
      <selection pane="topRight"/>
    </sheetView>
  </sheetViews>
  <sheetFormatPr defaultColWidth="10.875" defaultRowHeight="15.75"/>
  <cols>
    <col min="1" max="1" width="8.375" style="91" customWidth="1"/>
    <col min="2" max="2" width="22.125" style="91" bestFit="1" customWidth="1"/>
    <col min="3" max="3" width="32.625" style="91" customWidth="1"/>
    <col min="4" max="4" width="22.625" style="91" customWidth="1"/>
    <col min="5" max="5" width="55.5" style="91" customWidth="1"/>
    <col min="6" max="6" width="55.125" style="93" customWidth="1"/>
    <col min="7" max="7" width="49.125" style="570" customWidth="1"/>
    <col min="8" max="8" width="15.5" style="159" bestFit="1" customWidth="1"/>
    <col min="9" max="9" width="62.625" style="91" customWidth="1"/>
    <col min="10" max="10" width="7.625" style="658" customWidth="1"/>
    <col min="11" max="11" width="7.625" style="650" customWidth="1"/>
    <col min="12" max="12" width="16.625" style="651" customWidth="1"/>
    <col min="13" max="13" width="30.625" style="651" customWidth="1"/>
    <col min="14" max="14" width="18.375" style="647" customWidth="1"/>
    <col min="15" max="16" width="31.5" style="144" customWidth="1"/>
    <col min="17" max="17" width="24.875" style="144" customWidth="1"/>
    <col min="18" max="18" width="23.5" style="144" customWidth="1"/>
    <col min="19" max="19" width="39.5" style="173" customWidth="1"/>
    <col min="20" max="20" width="17" style="159" customWidth="1"/>
    <col min="21" max="21" width="37.625" style="93" customWidth="1"/>
    <col min="22" max="22" width="32.5" style="93" customWidth="1"/>
    <col min="23" max="23" width="36.375" style="93" customWidth="1"/>
    <col min="24" max="24" width="36.375" style="90" customWidth="1"/>
    <col min="25" max="25" width="39.5" style="659" customWidth="1"/>
    <col min="26" max="26" width="27.125" style="159" customWidth="1"/>
    <col min="27" max="27" width="24.5" style="652" customWidth="1"/>
    <col min="28" max="31" width="10.875" style="91" customWidth="1"/>
    <col min="32" max="16384" width="10.875" style="91"/>
  </cols>
  <sheetData>
    <row r="1" spans="1:27" s="695" customFormat="1" ht="48.75">
      <c r="A1" s="694" t="s">
        <v>161</v>
      </c>
      <c r="B1" s="695" t="s">
        <v>162</v>
      </c>
      <c r="C1" s="695" t="s">
        <v>163</v>
      </c>
      <c r="D1" s="695" t="s">
        <v>164</v>
      </c>
      <c r="E1" s="695" t="s">
        <v>165</v>
      </c>
      <c r="F1" s="694" t="s">
        <v>166</v>
      </c>
      <c r="G1" s="697" t="s">
        <v>167</v>
      </c>
      <c r="H1" s="694" t="s">
        <v>168</v>
      </c>
      <c r="I1" s="695" t="s">
        <v>169</v>
      </c>
      <c r="J1" s="698" t="s">
        <v>170</v>
      </c>
      <c r="K1" s="697" t="s">
        <v>171</v>
      </c>
      <c r="L1" s="699" t="s">
        <v>172</v>
      </c>
      <c r="M1" s="700" t="s">
        <v>173</v>
      </c>
      <c r="N1" s="701" t="s">
        <v>174</v>
      </c>
      <c r="O1" s="192" t="s">
        <v>175</v>
      </c>
      <c r="P1" s="192" t="s">
        <v>176</v>
      </c>
      <c r="Q1" s="192" t="s">
        <v>177</v>
      </c>
      <c r="R1" s="716" t="s">
        <v>178</v>
      </c>
      <c r="S1" s="697" t="s">
        <v>179</v>
      </c>
      <c r="T1" s="695" t="s">
        <v>180</v>
      </c>
      <c r="U1" s="696" t="s">
        <v>181</v>
      </c>
      <c r="V1" s="696" t="s">
        <v>182</v>
      </c>
      <c r="W1" s="696" t="s">
        <v>183</v>
      </c>
      <c r="X1" s="694" t="s">
        <v>184</v>
      </c>
      <c r="Y1" s="702" t="s">
        <v>185</v>
      </c>
      <c r="Z1" s="695" t="s">
        <v>186</v>
      </c>
      <c r="AA1" s="694" t="s">
        <v>187</v>
      </c>
    </row>
    <row r="2" spans="1:27" s="141" customFormat="1" ht="78.75">
      <c r="A2" s="775" t="s">
        <v>188</v>
      </c>
      <c r="B2" s="775" t="s">
        <v>189</v>
      </c>
      <c r="C2" s="780">
        <v>44621</v>
      </c>
      <c r="D2" s="775" t="s">
        <v>190</v>
      </c>
      <c r="E2" s="775" t="s">
        <v>191</v>
      </c>
      <c r="F2" s="656" t="s">
        <v>192</v>
      </c>
      <c r="G2" s="777">
        <v>35000000</v>
      </c>
      <c r="H2" s="757" t="s">
        <v>193</v>
      </c>
      <c r="I2" s="793" t="s">
        <v>194</v>
      </c>
      <c r="J2" s="658" t="str">
        <f>VLOOKUP($I2,Prices!A:B,2,0)</f>
        <v>.</v>
      </c>
      <c r="K2" s="790" t="s">
        <v>194</v>
      </c>
      <c r="L2" s="643" t="s">
        <v>194</v>
      </c>
      <c r="M2" s="788" t="s">
        <v>194</v>
      </c>
      <c r="N2" s="706" t="str">
        <f>VLOOKUP($I2,Prices!A:D,4,0)</f>
        <v>.</v>
      </c>
      <c r="O2" s="793" t="s">
        <v>194</v>
      </c>
      <c r="P2" s="793" t="s">
        <v>194</v>
      </c>
      <c r="Q2" s="772">
        <f>G2</f>
        <v>35000000</v>
      </c>
      <c r="R2" s="772">
        <f>Q2/VLOOKUP(H2,'Currency Conversion'!$B$2:$C$16,2,0)</f>
        <v>23241915.133807026</v>
      </c>
      <c r="S2" s="749" t="s">
        <v>194</v>
      </c>
      <c r="T2" s="757" t="s">
        <v>195</v>
      </c>
      <c r="U2" s="756" t="s">
        <v>196</v>
      </c>
      <c r="V2" s="756" t="s">
        <v>197</v>
      </c>
      <c r="W2" s="787" t="s">
        <v>194</v>
      </c>
      <c r="X2" s="771" t="s">
        <v>194</v>
      </c>
      <c r="Y2" s="759">
        <v>0</v>
      </c>
      <c r="Z2" s="757">
        <v>0</v>
      </c>
      <c r="AA2" s="799" t="s">
        <v>194</v>
      </c>
    </row>
    <row r="3" spans="1:27" s="141" customFormat="1" ht="47.25">
      <c r="A3" s="775" t="s">
        <v>198</v>
      </c>
      <c r="B3" s="775" t="s">
        <v>189</v>
      </c>
      <c r="C3" s="780">
        <v>44640</v>
      </c>
      <c r="D3" s="775" t="s">
        <v>190</v>
      </c>
      <c r="E3" s="775" t="s">
        <v>199</v>
      </c>
      <c r="F3" s="773" t="s">
        <v>200</v>
      </c>
      <c r="G3" s="777" t="s">
        <v>201</v>
      </c>
      <c r="H3" s="757" t="s">
        <v>193</v>
      </c>
      <c r="I3" s="775" t="s">
        <v>202</v>
      </c>
      <c r="J3" s="658">
        <f>VLOOKUP($I3,Prices!A:B,2,0)</f>
        <v>0</v>
      </c>
      <c r="K3" s="790">
        <f>VLOOKUP(I3,Prices!A:C,3,0)</f>
        <v>0</v>
      </c>
      <c r="L3" s="788">
        <v>70000</v>
      </c>
      <c r="M3" s="788" t="s">
        <v>194</v>
      </c>
      <c r="N3" s="643">
        <f>VLOOKUP($I3,Prices!A:D,4,0)</f>
        <v>350</v>
      </c>
      <c r="O3" s="772">
        <f>$L3*$N3</f>
        <v>24500000</v>
      </c>
      <c r="P3" s="793" t="s">
        <v>194</v>
      </c>
      <c r="Q3" s="772">
        <f>O3</f>
        <v>24500000</v>
      </c>
      <c r="R3" s="772">
        <f>Q3/VLOOKUP(H3,'Currency Conversion'!$B$2:$C$16,2,0)</f>
        <v>16269340.593664918</v>
      </c>
      <c r="S3" s="749" t="s">
        <v>194</v>
      </c>
      <c r="T3" s="757" t="s">
        <v>195</v>
      </c>
      <c r="U3" s="756" t="s">
        <v>203</v>
      </c>
      <c r="V3" s="756" t="s">
        <v>204</v>
      </c>
      <c r="W3" s="756" t="s">
        <v>205</v>
      </c>
      <c r="X3" s="771" t="s">
        <v>194</v>
      </c>
      <c r="Y3" s="759">
        <v>0</v>
      </c>
      <c r="Z3" s="757">
        <v>0</v>
      </c>
      <c r="AA3" s="799" t="s">
        <v>194</v>
      </c>
    </row>
    <row r="4" spans="1:27" s="141" customFormat="1" ht="173.25">
      <c r="A4" s="775" t="s">
        <v>206</v>
      </c>
      <c r="B4" s="775" t="s">
        <v>189</v>
      </c>
      <c r="C4" s="780">
        <v>44640</v>
      </c>
      <c r="D4" s="775" t="s">
        <v>190</v>
      </c>
      <c r="E4" s="784" t="s">
        <v>191</v>
      </c>
      <c r="F4" s="773" t="s">
        <v>207</v>
      </c>
      <c r="G4" s="777">
        <v>12000000</v>
      </c>
      <c r="H4" s="757" t="s">
        <v>193</v>
      </c>
      <c r="I4" s="793" t="s">
        <v>194</v>
      </c>
      <c r="J4" s="658" t="str">
        <f>VLOOKUP($I4,Prices!A:B,2,0)</f>
        <v>.</v>
      </c>
      <c r="K4" s="790" t="s">
        <v>194</v>
      </c>
      <c r="L4" s="643" t="s">
        <v>194</v>
      </c>
      <c r="M4" s="788" t="s">
        <v>194</v>
      </c>
      <c r="N4" s="706" t="str">
        <f>VLOOKUP($I4,Prices!A:D,4,0)</f>
        <v>.</v>
      </c>
      <c r="O4" s="772" t="s">
        <v>194</v>
      </c>
      <c r="P4" s="793" t="s">
        <v>194</v>
      </c>
      <c r="Q4" s="772">
        <f>G4</f>
        <v>12000000</v>
      </c>
      <c r="R4" s="772">
        <f>Q4/VLOOKUP(H4,'Currency Conversion'!$B$2:$C$16,2,0)</f>
        <v>7968656.6173052657</v>
      </c>
      <c r="S4" s="749" t="s">
        <v>194</v>
      </c>
      <c r="T4" s="757" t="s">
        <v>195</v>
      </c>
      <c r="U4" s="756" t="s">
        <v>208</v>
      </c>
      <c r="V4" s="756" t="s">
        <v>209</v>
      </c>
      <c r="W4" s="756" t="s">
        <v>210</v>
      </c>
      <c r="X4" s="771" t="s">
        <v>194</v>
      </c>
      <c r="Y4" s="759">
        <v>0</v>
      </c>
      <c r="Z4" s="757">
        <v>0</v>
      </c>
      <c r="AA4" s="799" t="s">
        <v>194</v>
      </c>
    </row>
    <row r="5" spans="1:27" s="141" customFormat="1" ht="94.5">
      <c r="A5" s="775" t="s">
        <v>211</v>
      </c>
      <c r="B5" s="775" t="s">
        <v>189</v>
      </c>
      <c r="C5" s="780">
        <v>44621</v>
      </c>
      <c r="D5" s="775" t="s">
        <v>212</v>
      </c>
      <c r="E5" s="775" t="s">
        <v>213</v>
      </c>
      <c r="F5" s="656" t="s">
        <v>214</v>
      </c>
      <c r="G5" s="777">
        <v>70000000</v>
      </c>
      <c r="H5" s="757" t="s">
        <v>193</v>
      </c>
      <c r="I5" s="793" t="s">
        <v>194</v>
      </c>
      <c r="J5" s="658" t="str">
        <f>VLOOKUP($I5,Prices!A:B,2,0)</f>
        <v>.</v>
      </c>
      <c r="K5" s="790" t="s">
        <v>194</v>
      </c>
      <c r="L5" s="643" t="s">
        <v>194</v>
      </c>
      <c r="M5" s="788"/>
      <c r="N5" s="643" t="str">
        <f>VLOOKUP($I5,Prices!A:D,4,0)</f>
        <v>.</v>
      </c>
      <c r="O5" s="772" t="s">
        <v>194</v>
      </c>
      <c r="P5" s="793" t="s">
        <v>194</v>
      </c>
      <c r="Q5" s="772">
        <f t="shared" ref="Q5:Q12" si="0">G5</f>
        <v>70000000</v>
      </c>
      <c r="R5" s="772">
        <f>Q5/VLOOKUP(H5,'Currency Conversion'!$B$2:$C$16,2,0)</f>
        <v>46483830.267614052</v>
      </c>
      <c r="S5" s="749" t="s">
        <v>194</v>
      </c>
      <c r="T5" s="757" t="s">
        <v>195</v>
      </c>
      <c r="U5" s="756" t="s">
        <v>196</v>
      </c>
      <c r="V5" s="756" t="s">
        <v>215</v>
      </c>
      <c r="W5" s="797" t="s">
        <v>208</v>
      </c>
      <c r="X5" s="771" t="s">
        <v>194</v>
      </c>
      <c r="Y5" s="759">
        <v>0</v>
      </c>
      <c r="Z5" s="757">
        <v>0</v>
      </c>
      <c r="AA5" s="799" t="s">
        <v>194</v>
      </c>
    </row>
    <row r="6" spans="1:27" s="141" customFormat="1" ht="47.25">
      <c r="A6" s="775" t="s">
        <v>216</v>
      </c>
      <c r="B6" s="775" t="s">
        <v>189</v>
      </c>
      <c r="C6" s="780">
        <v>44640</v>
      </c>
      <c r="D6" s="775" t="s">
        <v>212</v>
      </c>
      <c r="E6" s="775" t="s">
        <v>213</v>
      </c>
      <c r="F6" s="773" t="s">
        <v>217</v>
      </c>
      <c r="G6" s="777">
        <v>21000000</v>
      </c>
      <c r="H6" s="757" t="s">
        <v>193</v>
      </c>
      <c r="I6" s="793" t="s">
        <v>194</v>
      </c>
      <c r="J6" s="658" t="str">
        <f>VLOOKUP($I6,Prices!A:B,2,0)</f>
        <v>.</v>
      </c>
      <c r="K6" s="790" t="s">
        <v>194</v>
      </c>
      <c r="L6" s="643" t="s">
        <v>194</v>
      </c>
      <c r="M6" s="788" t="s">
        <v>194</v>
      </c>
      <c r="N6" s="706" t="str">
        <f>VLOOKUP($I6,Prices!A:D,4,0)</f>
        <v>.</v>
      </c>
      <c r="O6" s="772" t="s">
        <v>194</v>
      </c>
      <c r="P6" s="793" t="s">
        <v>194</v>
      </c>
      <c r="Q6" s="772">
        <f t="shared" si="0"/>
        <v>21000000</v>
      </c>
      <c r="R6" s="772">
        <f>Q6/VLOOKUP(H6,'Currency Conversion'!$B$2:$C$16,2,0)</f>
        <v>13945149.080284216</v>
      </c>
      <c r="S6" s="749" t="s">
        <v>194</v>
      </c>
      <c r="T6" s="757" t="s">
        <v>195</v>
      </c>
      <c r="U6" s="756" t="s">
        <v>218</v>
      </c>
      <c r="V6" s="756" t="s">
        <v>209</v>
      </c>
      <c r="W6" s="756" t="s">
        <v>219</v>
      </c>
      <c r="X6" s="771" t="s">
        <v>194</v>
      </c>
      <c r="Y6" s="759">
        <v>0</v>
      </c>
      <c r="Z6" s="757">
        <v>0</v>
      </c>
      <c r="AA6" s="799" t="s">
        <v>194</v>
      </c>
    </row>
    <row r="7" spans="1:27" s="141" customFormat="1">
      <c r="A7" s="868" t="s">
        <v>220</v>
      </c>
      <c r="B7" s="868" t="s">
        <v>189</v>
      </c>
      <c r="C7" s="867">
        <v>44651</v>
      </c>
      <c r="D7" s="868" t="s">
        <v>212</v>
      </c>
      <c r="E7" s="868" t="s">
        <v>221</v>
      </c>
      <c r="F7" s="890" t="s">
        <v>222</v>
      </c>
      <c r="G7" s="875">
        <v>25000000</v>
      </c>
      <c r="H7" s="870" t="s">
        <v>193</v>
      </c>
      <c r="I7" s="793" t="s">
        <v>223</v>
      </c>
      <c r="J7" s="658">
        <f>VLOOKUP($I7,Prices!A:B,2,0)</f>
        <v>1</v>
      </c>
      <c r="K7" s="790">
        <f>VLOOKUP(I7,Prices!A:C,3,0)</f>
        <v>0</v>
      </c>
      <c r="L7" s="643" t="s">
        <v>224</v>
      </c>
      <c r="M7" s="788"/>
      <c r="N7" s="643" t="str">
        <f>VLOOKUP($I7,Prices!A:D,4,0)</f>
        <v>.</v>
      </c>
      <c r="O7" s="772" t="s">
        <v>194</v>
      </c>
      <c r="P7" s="793" t="s">
        <v>194</v>
      </c>
      <c r="Q7" s="869">
        <f>G7</f>
        <v>25000000</v>
      </c>
      <c r="R7" s="869">
        <f>Q7/VLOOKUP(H7,'Currency Conversion'!$B$2:$C$16,2,0)</f>
        <v>16601367.952719305</v>
      </c>
      <c r="S7" s="886" t="s">
        <v>194</v>
      </c>
      <c r="T7" s="870" t="s">
        <v>195</v>
      </c>
      <c r="U7" s="854" t="s">
        <v>225</v>
      </c>
      <c r="V7" s="860" t="s">
        <v>226</v>
      </c>
      <c r="W7" s="854" t="s">
        <v>227</v>
      </c>
      <c r="X7" s="896" t="s">
        <v>194</v>
      </c>
      <c r="Y7" s="878">
        <v>0</v>
      </c>
      <c r="Z7" s="870">
        <v>0</v>
      </c>
      <c r="AA7" s="894" t="s">
        <v>194</v>
      </c>
    </row>
    <row r="8" spans="1:27" s="141" customFormat="1" ht="15.75" customHeight="1">
      <c r="A8" s="868"/>
      <c r="B8" s="868"/>
      <c r="C8" s="867"/>
      <c r="D8" s="868"/>
      <c r="E8" s="868"/>
      <c r="F8" s="890"/>
      <c r="G8" s="875"/>
      <c r="H8" s="870"/>
      <c r="I8" s="793" t="s">
        <v>228</v>
      </c>
      <c r="J8" s="658">
        <f>VLOOKUP($I8,Prices!A:B,2,0)</f>
        <v>5</v>
      </c>
      <c r="K8" s="790">
        <f>VLOOKUP(I8,Prices!A:C,3,0)</f>
        <v>0</v>
      </c>
      <c r="L8" s="643" t="s">
        <v>224</v>
      </c>
      <c r="M8" s="788"/>
      <c r="N8" s="706" t="str">
        <f>VLOOKUP($I8,Prices!A:D,4,0)</f>
        <v>.</v>
      </c>
      <c r="O8" s="772" t="s">
        <v>194</v>
      </c>
      <c r="P8" s="793" t="s">
        <v>194</v>
      </c>
      <c r="Q8" s="869"/>
      <c r="R8" s="869"/>
      <c r="S8" s="886"/>
      <c r="T8" s="870"/>
      <c r="U8" s="854"/>
      <c r="V8" s="860"/>
      <c r="W8" s="854"/>
      <c r="X8" s="896"/>
      <c r="Y8" s="878"/>
      <c r="Z8" s="870"/>
      <c r="AA8" s="894"/>
    </row>
    <row r="9" spans="1:27" s="141" customFormat="1" ht="15.75" customHeight="1">
      <c r="A9" s="868"/>
      <c r="B9" s="868"/>
      <c r="C9" s="867"/>
      <c r="D9" s="868"/>
      <c r="E9" s="868"/>
      <c r="F9" s="890"/>
      <c r="G9" s="875"/>
      <c r="H9" s="870"/>
      <c r="I9" s="793" t="s">
        <v>229</v>
      </c>
      <c r="J9" s="658">
        <f>VLOOKUP($I9,Prices!A:B,2,0)</f>
        <v>3</v>
      </c>
      <c r="K9" s="790">
        <f>VLOOKUP(I9,Prices!A:C,3,0)</f>
        <v>0</v>
      </c>
      <c r="L9" s="643" t="s">
        <v>224</v>
      </c>
      <c r="M9" s="788"/>
      <c r="N9" s="643" t="str">
        <f>VLOOKUP($I9,Prices!A:D,4,0)</f>
        <v>.</v>
      </c>
      <c r="O9" s="772" t="s">
        <v>194</v>
      </c>
      <c r="P9" s="793" t="s">
        <v>194</v>
      </c>
      <c r="Q9" s="869"/>
      <c r="R9" s="869"/>
      <c r="S9" s="886"/>
      <c r="T9" s="870"/>
      <c r="U9" s="854"/>
      <c r="V9" s="860"/>
      <c r="W9" s="854"/>
      <c r="X9" s="896"/>
      <c r="Y9" s="878"/>
      <c r="Z9" s="870"/>
      <c r="AA9" s="894"/>
    </row>
    <row r="10" spans="1:27" s="141" customFormat="1" ht="15.75" customHeight="1">
      <c r="A10" s="868"/>
      <c r="B10" s="868"/>
      <c r="C10" s="867"/>
      <c r="D10" s="868"/>
      <c r="E10" s="868"/>
      <c r="F10" s="890"/>
      <c r="G10" s="875"/>
      <c r="H10" s="870"/>
      <c r="I10" s="793" t="s">
        <v>230</v>
      </c>
      <c r="J10" s="658">
        <f>VLOOKUP($I10,Prices!A:B,2,0)</f>
        <v>1</v>
      </c>
      <c r="K10" s="790">
        <f>VLOOKUP(I10,Prices!A:C,3,0)</f>
        <v>0</v>
      </c>
      <c r="L10" s="643" t="s">
        <v>224</v>
      </c>
      <c r="M10" s="788"/>
      <c r="N10" s="706">
        <f>VLOOKUP($I10,Prices!A:D,4,0)</f>
        <v>8</v>
      </c>
      <c r="O10" s="772" t="s">
        <v>194</v>
      </c>
      <c r="P10" s="793" t="s">
        <v>194</v>
      </c>
      <c r="Q10" s="869"/>
      <c r="R10" s="869"/>
      <c r="S10" s="886"/>
      <c r="T10" s="870"/>
      <c r="U10" s="854"/>
      <c r="V10" s="860"/>
      <c r="W10" s="854"/>
      <c r="X10" s="896"/>
      <c r="Y10" s="878"/>
      <c r="Z10" s="870"/>
      <c r="AA10" s="894"/>
    </row>
    <row r="11" spans="1:27" s="141" customFormat="1" ht="17.25" customHeight="1">
      <c r="A11" s="868"/>
      <c r="B11" s="868"/>
      <c r="C11" s="867"/>
      <c r="D11" s="868"/>
      <c r="E11" s="868"/>
      <c r="F11" s="890"/>
      <c r="G11" s="875"/>
      <c r="H11" s="870"/>
      <c r="I11" s="793" t="s">
        <v>231</v>
      </c>
      <c r="J11" s="658">
        <f>VLOOKUP($I11,Prices!A:B,2,0)</f>
        <v>0</v>
      </c>
      <c r="K11" s="790">
        <f>VLOOKUP(I11,Prices!A:C,3,0)</f>
        <v>0</v>
      </c>
      <c r="L11" s="643" t="s">
        <v>224</v>
      </c>
      <c r="M11" s="788"/>
      <c r="N11" s="643" t="str">
        <f>VLOOKUP($I11,Prices!A:D,4,0)</f>
        <v>.</v>
      </c>
      <c r="O11" s="772" t="s">
        <v>194</v>
      </c>
      <c r="P11" s="793" t="s">
        <v>194</v>
      </c>
      <c r="Q11" s="869"/>
      <c r="R11" s="869"/>
      <c r="S11" s="886"/>
      <c r="T11" s="870"/>
      <c r="U11" s="854"/>
      <c r="V11" s="860"/>
      <c r="W11" s="854"/>
      <c r="X11" s="896"/>
      <c r="Y11" s="878"/>
      <c r="Z11" s="870"/>
      <c r="AA11" s="894"/>
    </row>
    <row r="12" spans="1:27" s="141" customFormat="1" ht="111" customHeight="1">
      <c r="A12" s="775" t="s">
        <v>232</v>
      </c>
      <c r="B12" s="775" t="s">
        <v>189</v>
      </c>
      <c r="C12" s="780">
        <v>44659</v>
      </c>
      <c r="D12" s="775" t="s">
        <v>212</v>
      </c>
      <c r="E12" s="775" t="s">
        <v>221</v>
      </c>
      <c r="F12" s="773" t="s">
        <v>233</v>
      </c>
      <c r="G12" s="777">
        <v>49000000</v>
      </c>
      <c r="H12" s="792" t="s">
        <v>193</v>
      </c>
      <c r="I12" s="793" t="s">
        <v>234</v>
      </c>
      <c r="J12" s="658">
        <f>VLOOKUP($I12,Prices!A:B,2,0)</f>
        <v>4</v>
      </c>
      <c r="K12" s="790">
        <f>VLOOKUP(I12,Prices!A:C,3,0)</f>
        <v>0</v>
      </c>
      <c r="L12" s="788">
        <v>20</v>
      </c>
      <c r="M12" s="788">
        <v>20</v>
      </c>
      <c r="N12" s="707">
        <f>VLOOKUP($I12,Prices!A:D,4,0)</f>
        <v>1750000</v>
      </c>
      <c r="O12" s="772">
        <f t="shared" ref="O12:O66" si="1">$L12*$N12</f>
        <v>35000000</v>
      </c>
      <c r="P12" s="793">
        <f>$M12*$N12</f>
        <v>35000000</v>
      </c>
      <c r="Q12" s="772">
        <f t="shared" si="0"/>
        <v>49000000</v>
      </c>
      <c r="R12" s="772">
        <f>Q12/VLOOKUP(H12,'Currency Conversion'!$B$2:$C$16,2,0)</f>
        <v>32538681.187329836</v>
      </c>
      <c r="S12" s="749">
        <f>R12</f>
        <v>32538681.187329836</v>
      </c>
      <c r="T12" s="757" t="s">
        <v>195</v>
      </c>
      <c r="U12" s="797" t="s">
        <v>235</v>
      </c>
      <c r="V12" s="798" t="s">
        <v>194</v>
      </c>
      <c r="W12" s="801" t="s">
        <v>194</v>
      </c>
      <c r="X12" s="771" t="s">
        <v>194</v>
      </c>
      <c r="Y12" s="759">
        <v>0</v>
      </c>
      <c r="Z12" s="757">
        <v>0</v>
      </c>
      <c r="AA12" s="762" t="s">
        <v>236</v>
      </c>
    </row>
    <row r="13" spans="1:27" s="141" customFormat="1" ht="30" customHeight="1">
      <c r="A13" s="868" t="s">
        <v>237</v>
      </c>
      <c r="B13" s="868" t="s">
        <v>189</v>
      </c>
      <c r="C13" s="867">
        <v>44659</v>
      </c>
      <c r="D13" s="868" t="s">
        <v>212</v>
      </c>
      <c r="E13" s="868" t="s">
        <v>213</v>
      </c>
      <c r="F13" s="890" t="s">
        <v>238</v>
      </c>
      <c r="G13" s="875">
        <v>26500000</v>
      </c>
      <c r="H13" s="885" t="s">
        <v>193</v>
      </c>
      <c r="I13" s="793" t="s">
        <v>239</v>
      </c>
      <c r="J13" s="658">
        <f>VLOOKUP($I13,Prices!A:B,2,0)</f>
        <v>3</v>
      </c>
      <c r="K13" s="790">
        <f>VLOOKUP(I13,Prices!A:C,3,0)</f>
        <v>0</v>
      </c>
      <c r="L13" s="788" t="s">
        <v>224</v>
      </c>
      <c r="M13" s="643" t="s">
        <v>224</v>
      </c>
      <c r="N13" s="647">
        <f>VLOOKUP($I13,Prices!A:D,4,0)</f>
        <v>2000</v>
      </c>
      <c r="O13" s="772" t="s">
        <v>194</v>
      </c>
      <c r="P13" s="793" t="s">
        <v>194</v>
      </c>
      <c r="Q13" s="869">
        <f>G13</f>
        <v>26500000</v>
      </c>
      <c r="R13" s="869">
        <f>Q13/VLOOKUP(H13,'Currency Conversion'!$B$2:$C$16,2,0)</f>
        <v>17597450.029882461</v>
      </c>
      <c r="S13" s="886">
        <f>R13</f>
        <v>17597450.029882461</v>
      </c>
      <c r="T13" s="870" t="s">
        <v>240</v>
      </c>
      <c r="U13" s="854" t="s">
        <v>241</v>
      </c>
      <c r="V13" s="925" t="s">
        <v>194</v>
      </c>
      <c r="W13" s="925" t="s">
        <v>194</v>
      </c>
      <c r="X13" s="848" t="s">
        <v>194</v>
      </c>
      <c r="Y13" s="870">
        <v>0</v>
      </c>
      <c r="Z13" s="870">
        <v>0</v>
      </c>
      <c r="AA13" s="897" t="s">
        <v>242</v>
      </c>
    </row>
    <row r="14" spans="1:27" s="141" customFormat="1" ht="51.75" customHeight="1">
      <c r="A14" s="868"/>
      <c r="B14" s="868"/>
      <c r="C14" s="867"/>
      <c r="D14" s="868"/>
      <c r="E14" s="868"/>
      <c r="F14" s="890"/>
      <c r="G14" s="875"/>
      <c r="H14" s="885"/>
      <c r="I14" s="793" t="s">
        <v>243</v>
      </c>
      <c r="J14" s="658">
        <f>VLOOKUP($I14,Prices!A:B,2,0)</f>
        <v>3.5</v>
      </c>
      <c r="K14" s="790">
        <f>VLOOKUP(I14,Prices!A:C,3,0)</f>
        <v>0</v>
      </c>
      <c r="L14" s="788" t="s">
        <v>224</v>
      </c>
      <c r="M14" s="643" t="s">
        <v>224</v>
      </c>
      <c r="N14" s="707">
        <f>VLOOKUP($I14,Prices!A:D,4,0)</f>
        <v>3522</v>
      </c>
      <c r="O14" s="772" t="s">
        <v>194</v>
      </c>
      <c r="P14" s="793" t="s">
        <v>194</v>
      </c>
      <c r="Q14" s="869"/>
      <c r="R14" s="869"/>
      <c r="S14" s="886"/>
      <c r="T14" s="870"/>
      <c r="U14" s="854"/>
      <c r="V14" s="925"/>
      <c r="W14" s="925" t="s">
        <v>194</v>
      </c>
      <c r="X14" s="848" t="s">
        <v>194</v>
      </c>
      <c r="Y14" s="870"/>
      <c r="Z14" s="870"/>
      <c r="AA14" s="897"/>
    </row>
    <row r="15" spans="1:27" s="141" customFormat="1" ht="15.75" customHeight="1">
      <c r="A15" s="868" t="s">
        <v>244</v>
      </c>
      <c r="B15" s="868" t="s">
        <v>189</v>
      </c>
      <c r="C15" s="867">
        <v>44678</v>
      </c>
      <c r="D15" s="868" t="s">
        <v>212</v>
      </c>
      <c r="E15" s="880" t="s">
        <v>213</v>
      </c>
      <c r="F15" s="890" t="s">
        <v>245</v>
      </c>
      <c r="G15" s="875">
        <v>26700000</v>
      </c>
      <c r="H15" s="870" t="s">
        <v>193</v>
      </c>
      <c r="I15" s="793" t="s">
        <v>246</v>
      </c>
      <c r="J15" s="658">
        <f>VLOOKUP($I15,Prices!A:B,2,0)</f>
        <v>4</v>
      </c>
      <c r="K15" s="790">
        <f>VLOOKUP(I15,Prices!A:C,3,0)</f>
        <v>0</v>
      </c>
      <c r="L15" s="788">
        <v>6</v>
      </c>
      <c r="M15" s="788">
        <v>6</v>
      </c>
      <c r="N15" s="647">
        <f>VLOOKUP($I15,Prices!A:D,4,0)</f>
        <v>5170000</v>
      </c>
      <c r="O15" s="772">
        <f t="shared" si="1"/>
        <v>31020000</v>
      </c>
      <c r="P15" s="793">
        <f t="shared" ref="P15:P76" si="2">$M15*$N15</f>
        <v>31020000</v>
      </c>
      <c r="Q15" s="869">
        <f>G15</f>
        <v>26700000</v>
      </c>
      <c r="R15" s="869">
        <f>Q15/VLOOKUP(H15,'Currency Conversion'!$B$2:$C$16,2,0)</f>
        <v>17730260.973504215</v>
      </c>
      <c r="S15" s="886">
        <f>R15</f>
        <v>17730260.973504215</v>
      </c>
      <c r="T15" s="932" t="s">
        <v>240</v>
      </c>
      <c r="U15" s="854" t="s">
        <v>247</v>
      </c>
      <c r="V15" s="854" t="s">
        <v>248</v>
      </c>
      <c r="W15" s="933" t="s">
        <v>194</v>
      </c>
      <c r="X15" s="868" t="s">
        <v>194</v>
      </c>
      <c r="Y15" s="870">
        <v>0</v>
      </c>
      <c r="Z15" s="870">
        <v>0</v>
      </c>
      <c r="AA15" s="758" t="s">
        <v>236</v>
      </c>
    </row>
    <row r="16" spans="1:27" s="141" customFormat="1" ht="143.25" customHeight="1">
      <c r="A16" s="868"/>
      <c r="B16" s="868"/>
      <c r="C16" s="867"/>
      <c r="D16" s="868"/>
      <c r="E16" s="880"/>
      <c r="F16" s="890"/>
      <c r="G16" s="875"/>
      <c r="H16" s="870"/>
      <c r="I16" s="793" t="s">
        <v>249</v>
      </c>
      <c r="J16" s="658">
        <f>VLOOKUP($I16,Prices!A:B,2,0)</f>
        <v>4.5</v>
      </c>
      <c r="K16" s="790">
        <f>VLOOKUP(I16,Prices!A:C,3,0)</f>
        <v>0</v>
      </c>
      <c r="L16" s="788" t="s">
        <v>224</v>
      </c>
      <c r="M16" s="788" t="s">
        <v>224</v>
      </c>
      <c r="N16" s="707">
        <f>VLOOKUP($I16,Prices!A:D,4,0)</f>
        <v>3890</v>
      </c>
      <c r="O16" s="772" t="s">
        <v>194</v>
      </c>
      <c r="P16" s="793" t="s">
        <v>194</v>
      </c>
      <c r="Q16" s="869"/>
      <c r="R16" s="869"/>
      <c r="S16" s="886"/>
      <c r="T16" s="932"/>
      <c r="U16" s="854"/>
      <c r="V16" s="854"/>
      <c r="W16" s="933"/>
      <c r="X16" s="868"/>
      <c r="Y16" s="870"/>
      <c r="Z16" s="870"/>
      <c r="AA16" s="758"/>
    </row>
    <row r="17" spans="1:27" s="141" customFormat="1" ht="30" customHeight="1">
      <c r="A17" s="868" t="s">
        <v>250</v>
      </c>
      <c r="B17" s="868" t="s">
        <v>189</v>
      </c>
      <c r="C17" s="867">
        <v>44700</v>
      </c>
      <c r="D17" s="868" t="s">
        <v>212</v>
      </c>
      <c r="E17" s="880" t="s">
        <v>213</v>
      </c>
      <c r="F17" s="890" t="s">
        <v>251</v>
      </c>
      <c r="G17" s="875">
        <v>60900000</v>
      </c>
      <c r="H17" s="870" t="s">
        <v>193</v>
      </c>
      <c r="I17" s="775" t="s">
        <v>252</v>
      </c>
      <c r="J17" s="658">
        <f>VLOOKUP($I17,Prices!A:B,2,0)</f>
        <v>4</v>
      </c>
      <c r="K17" s="790">
        <f>VLOOKUP(I17,Prices!A:C,3,0)</f>
        <v>0</v>
      </c>
      <c r="L17" s="788">
        <v>14</v>
      </c>
      <c r="M17" s="788">
        <v>14</v>
      </c>
      <c r="N17" s="647">
        <f>VLOOKUP($I17,Prices!A:D,4,0)</f>
        <v>300000</v>
      </c>
      <c r="O17" s="772">
        <f t="shared" si="1"/>
        <v>4200000</v>
      </c>
      <c r="P17" s="793">
        <f t="shared" si="2"/>
        <v>4200000</v>
      </c>
      <c r="Q17" s="869">
        <f>G17</f>
        <v>60900000</v>
      </c>
      <c r="R17" s="869">
        <f>Q17/VLOOKUP(H17,'Currency Conversion'!$B$2:$C$16,2,0)</f>
        <v>40440932.332824223</v>
      </c>
      <c r="S17" s="886">
        <f>R17</f>
        <v>40440932.332824223</v>
      </c>
      <c r="T17" s="870" t="s">
        <v>240</v>
      </c>
      <c r="U17" s="854" t="s">
        <v>253</v>
      </c>
      <c r="V17" s="854" t="s">
        <v>254</v>
      </c>
      <c r="W17" s="854" t="s">
        <v>255</v>
      </c>
      <c r="X17" s="868" t="s">
        <v>194</v>
      </c>
      <c r="Y17" s="878">
        <v>0</v>
      </c>
      <c r="Z17" s="870">
        <v>0</v>
      </c>
      <c r="AA17" s="897" t="s">
        <v>242</v>
      </c>
    </row>
    <row r="18" spans="1:27" s="141" customFormat="1" ht="177.75" customHeight="1">
      <c r="A18" s="868"/>
      <c r="B18" s="868"/>
      <c r="C18" s="867"/>
      <c r="D18" s="868"/>
      <c r="E18" s="880"/>
      <c r="F18" s="890"/>
      <c r="G18" s="875"/>
      <c r="H18" s="870"/>
      <c r="I18" s="775" t="s">
        <v>234</v>
      </c>
      <c r="J18" s="658">
        <f>VLOOKUP($I18,Prices!A:B,2,0)</f>
        <v>4</v>
      </c>
      <c r="K18" s="790">
        <f>VLOOKUP(I18,Prices!A:C,3,0)</f>
        <v>0</v>
      </c>
      <c r="L18" s="788">
        <v>20</v>
      </c>
      <c r="M18" s="788">
        <v>20</v>
      </c>
      <c r="N18" s="707">
        <f>VLOOKUP($I18,Prices!A:D,4,0)</f>
        <v>1750000</v>
      </c>
      <c r="O18" s="772">
        <f>$L18*$N18</f>
        <v>35000000</v>
      </c>
      <c r="P18" s="793">
        <f t="shared" si="2"/>
        <v>35000000</v>
      </c>
      <c r="Q18" s="869"/>
      <c r="R18" s="869"/>
      <c r="S18" s="886"/>
      <c r="T18" s="870"/>
      <c r="U18" s="854"/>
      <c r="V18" s="854"/>
      <c r="W18" s="855"/>
      <c r="X18" s="868"/>
      <c r="Y18" s="878"/>
      <c r="Z18" s="870"/>
      <c r="AA18" s="897"/>
    </row>
    <row r="19" spans="1:27" s="661" customFormat="1" ht="17.100000000000001" customHeight="1">
      <c r="A19" s="879" t="s">
        <v>256</v>
      </c>
      <c r="B19" s="879" t="s">
        <v>257</v>
      </c>
      <c r="C19" s="906">
        <v>44617</v>
      </c>
      <c r="D19" s="879" t="s">
        <v>190</v>
      </c>
      <c r="E19" s="879" t="s">
        <v>199</v>
      </c>
      <c r="F19" s="884" t="s">
        <v>258</v>
      </c>
      <c r="G19" s="916" t="s">
        <v>259</v>
      </c>
      <c r="H19" s="888" t="s">
        <v>260</v>
      </c>
      <c r="I19" s="767" t="s">
        <v>261</v>
      </c>
      <c r="J19" s="658">
        <f>VLOOKUP($I19,Prices!A:B,2,0)</f>
        <v>0</v>
      </c>
      <c r="K19" s="790">
        <f>VLOOKUP(I19,Prices!A:C,3,0)</f>
        <v>0</v>
      </c>
      <c r="L19" s="651">
        <v>50000</v>
      </c>
      <c r="M19" s="651" t="s">
        <v>194</v>
      </c>
      <c r="N19" s="647">
        <f>VLOOKUP($I19,Prices!A:D,4,0)</f>
        <v>2.2999999999999998</v>
      </c>
      <c r="O19" s="772">
        <f t="shared" si="1"/>
        <v>114999.99999999999</v>
      </c>
      <c r="P19" s="793" t="s">
        <v>194</v>
      </c>
      <c r="Q19" s="877">
        <f>SUM(O19:O26)</f>
        <v>775000</v>
      </c>
      <c r="R19" s="877">
        <f>Q19/VLOOKUP(H19,'Currency Conversion'!B:C,2,0)</f>
        <v>733901.51515151514</v>
      </c>
      <c r="S19" s="891" t="s">
        <v>194</v>
      </c>
      <c r="T19" s="888" t="s">
        <v>195</v>
      </c>
      <c r="U19" s="854" t="s">
        <v>262</v>
      </c>
      <c r="V19" s="884" t="s">
        <v>194</v>
      </c>
      <c r="W19" s="884" t="s">
        <v>194</v>
      </c>
      <c r="X19" s="896" t="s">
        <v>194</v>
      </c>
      <c r="Y19" s="878">
        <v>0</v>
      </c>
      <c r="Z19" s="888">
        <v>0</v>
      </c>
      <c r="AA19" s="893" t="s">
        <v>194</v>
      </c>
    </row>
    <row r="20" spans="1:27" s="661" customFormat="1" ht="15.75" customHeight="1">
      <c r="A20" s="879"/>
      <c r="B20" s="879"/>
      <c r="C20" s="906"/>
      <c r="D20" s="879"/>
      <c r="E20" s="879"/>
      <c r="F20" s="884"/>
      <c r="G20" s="916"/>
      <c r="H20" s="888"/>
      <c r="I20" s="767" t="s">
        <v>263</v>
      </c>
      <c r="J20" s="658">
        <f>VLOOKUP($I20,Prices!A:B,2,0)</f>
        <v>0</v>
      </c>
      <c r="K20" s="790">
        <f>VLOOKUP(I20,Prices!A:C,3,0)</f>
        <v>0</v>
      </c>
      <c r="L20" s="651">
        <v>9000</v>
      </c>
      <c r="M20" s="651" t="s">
        <v>194</v>
      </c>
      <c r="N20" s="708">
        <f>VLOOKUP($I20,Prices!A:D,4,0)</f>
        <v>4</v>
      </c>
      <c r="O20" s="772">
        <f t="shared" si="1"/>
        <v>36000</v>
      </c>
      <c r="P20" s="793" t="s">
        <v>194</v>
      </c>
      <c r="Q20" s="877"/>
      <c r="R20" s="877"/>
      <c r="S20" s="891"/>
      <c r="T20" s="888"/>
      <c r="U20" s="854"/>
      <c r="V20" s="884"/>
      <c r="W20" s="884"/>
      <c r="X20" s="896"/>
      <c r="Y20" s="878"/>
      <c r="Z20" s="888"/>
      <c r="AA20" s="893"/>
    </row>
    <row r="21" spans="1:27" s="661" customFormat="1" ht="15.75" customHeight="1">
      <c r="A21" s="879"/>
      <c r="B21" s="879"/>
      <c r="C21" s="906"/>
      <c r="D21" s="879"/>
      <c r="E21" s="879"/>
      <c r="F21" s="884"/>
      <c r="G21" s="916"/>
      <c r="H21" s="888"/>
      <c r="I21" s="767" t="s">
        <v>264</v>
      </c>
      <c r="J21" s="658">
        <f>VLOOKUP($I21,Prices!A:B,2,0)</f>
        <v>0</v>
      </c>
      <c r="K21" s="790">
        <f>VLOOKUP(I21,Prices!A:C,3,0)</f>
        <v>0</v>
      </c>
      <c r="L21" s="651">
        <v>50000</v>
      </c>
      <c r="M21" s="651" t="s">
        <v>194</v>
      </c>
      <c r="N21" s="647">
        <f>VLOOKUP($I21,Prices!A:D,4,0)</f>
        <v>10</v>
      </c>
      <c r="O21" s="772">
        <f t="shared" si="1"/>
        <v>500000</v>
      </c>
      <c r="P21" s="793" t="s">
        <v>194</v>
      </c>
      <c r="Q21" s="877"/>
      <c r="R21" s="877"/>
      <c r="S21" s="891"/>
      <c r="T21" s="888"/>
      <c r="U21" s="854"/>
      <c r="V21" s="884"/>
      <c r="W21" s="884"/>
      <c r="X21" s="896"/>
      <c r="Y21" s="878"/>
      <c r="Z21" s="888"/>
      <c r="AA21" s="893"/>
    </row>
    <row r="22" spans="1:27" s="661" customFormat="1" ht="15.75" customHeight="1">
      <c r="A22" s="879"/>
      <c r="B22" s="879"/>
      <c r="C22" s="906"/>
      <c r="D22" s="879"/>
      <c r="E22" s="879"/>
      <c r="F22" s="884"/>
      <c r="G22" s="916"/>
      <c r="H22" s="888"/>
      <c r="I22" s="767" t="s">
        <v>265</v>
      </c>
      <c r="J22" s="658">
        <f>VLOOKUP($I22,Prices!A:B,2,0)</f>
        <v>0</v>
      </c>
      <c r="K22" s="790">
        <f>VLOOKUP(I22,Prices!A:C,3,0)</f>
        <v>0</v>
      </c>
      <c r="L22" s="651">
        <v>50000</v>
      </c>
      <c r="M22" s="651" t="s">
        <v>194</v>
      </c>
      <c r="N22" s="708">
        <f>VLOOKUP($I22,Prices!A:D,4,0)</f>
        <v>0.25</v>
      </c>
      <c r="O22" s="772">
        <f t="shared" si="1"/>
        <v>12500</v>
      </c>
      <c r="P22" s="793" t="s">
        <v>194</v>
      </c>
      <c r="Q22" s="877"/>
      <c r="R22" s="877"/>
      <c r="S22" s="891"/>
      <c r="T22" s="888"/>
      <c r="U22" s="854"/>
      <c r="V22" s="884"/>
      <c r="W22" s="884"/>
      <c r="X22" s="896"/>
      <c r="Y22" s="878"/>
      <c r="Z22" s="888"/>
      <c r="AA22" s="893"/>
    </row>
    <row r="23" spans="1:27" s="661" customFormat="1" ht="15.75" customHeight="1">
      <c r="A23" s="879"/>
      <c r="B23" s="879"/>
      <c r="C23" s="906"/>
      <c r="D23" s="879"/>
      <c r="E23" s="879"/>
      <c r="F23" s="884"/>
      <c r="G23" s="916"/>
      <c r="H23" s="888"/>
      <c r="I23" s="767" t="s">
        <v>266</v>
      </c>
      <c r="J23" s="658">
        <f>VLOOKUP($I23,Prices!A:B,2,0)</f>
        <v>0</v>
      </c>
      <c r="K23" s="790">
        <f>VLOOKUP(I23,Prices!A:C,3,0)</f>
        <v>0</v>
      </c>
      <c r="L23" s="651">
        <v>20000</v>
      </c>
      <c r="M23" s="651" t="s">
        <v>194</v>
      </c>
      <c r="N23" s="647">
        <f>VLOOKUP($I23,Prices!A:D,4,0)</f>
        <v>0.15</v>
      </c>
      <c r="O23" s="772">
        <f t="shared" si="1"/>
        <v>3000</v>
      </c>
      <c r="P23" s="793" t="s">
        <v>194</v>
      </c>
      <c r="Q23" s="877"/>
      <c r="R23" s="877"/>
      <c r="S23" s="891"/>
      <c r="T23" s="888"/>
      <c r="U23" s="854"/>
      <c r="V23" s="884"/>
      <c r="W23" s="884"/>
      <c r="X23" s="896"/>
      <c r="Y23" s="878"/>
      <c r="Z23" s="888"/>
      <c r="AA23" s="893"/>
    </row>
    <row r="24" spans="1:27" s="661" customFormat="1" ht="15.75" customHeight="1">
      <c r="A24" s="879"/>
      <c r="B24" s="879"/>
      <c r="C24" s="906"/>
      <c r="D24" s="879"/>
      <c r="E24" s="879"/>
      <c r="F24" s="884"/>
      <c r="G24" s="916"/>
      <c r="H24" s="888"/>
      <c r="I24" s="767" t="s">
        <v>267</v>
      </c>
      <c r="J24" s="658">
        <f>VLOOKUP($I24,Prices!A:B,2,0)</f>
        <v>0</v>
      </c>
      <c r="K24" s="790">
        <f>VLOOKUP(I24,Prices!A:C,3,0)</f>
        <v>0</v>
      </c>
      <c r="L24" s="651">
        <v>5</v>
      </c>
      <c r="M24" s="651" t="s">
        <v>194</v>
      </c>
      <c r="N24" s="708" t="str">
        <f>VLOOKUP($I24,Prices!A:D,4,0)</f>
        <v>.</v>
      </c>
      <c r="O24" s="772" t="s">
        <v>194</v>
      </c>
      <c r="P24" s="793" t="s">
        <v>194</v>
      </c>
      <c r="Q24" s="877"/>
      <c r="R24" s="877"/>
      <c r="S24" s="891"/>
      <c r="T24" s="888"/>
      <c r="U24" s="854"/>
      <c r="V24" s="884"/>
      <c r="W24" s="884"/>
      <c r="X24" s="896"/>
      <c r="Y24" s="878"/>
      <c r="Z24" s="888"/>
      <c r="AA24" s="893"/>
    </row>
    <row r="25" spans="1:27" s="661" customFormat="1" ht="14.25" customHeight="1">
      <c r="A25" s="879"/>
      <c r="B25" s="879"/>
      <c r="C25" s="906"/>
      <c r="D25" s="879"/>
      <c r="E25" s="879"/>
      <c r="F25" s="884"/>
      <c r="G25" s="916"/>
      <c r="H25" s="888"/>
      <c r="I25" s="767" t="s">
        <v>268</v>
      </c>
      <c r="J25" s="658">
        <f>VLOOKUP($I25,Prices!A:B,2,0)</f>
        <v>0</v>
      </c>
      <c r="K25" s="790">
        <f>VLOOKUP(I25,Prices!A:C,3,0)</f>
        <v>0</v>
      </c>
      <c r="L25" s="651">
        <v>700</v>
      </c>
      <c r="M25" s="651" t="s">
        <v>194</v>
      </c>
      <c r="N25" s="647">
        <f>VLOOKUP($I25,Prices!A:D,4,0)</f>
        <v>75</v>
      </c>
      <c r="O25" s="772">
        <f t="shared" si="1"/>
        <v>52500</v>
      </c>
      <c r="P25" s="793" t="s">
        <v>194</v>
      </c>
      <c r="Q25" s="877"/>
      <c r="R25" s="877"/>
      <c r="S25" s="891"/>
      <c r="T25" s="888"/>
      <c r="U25" s="854"/>
      <c r="V25" s="884"/>
      <c r="W25" s="884"/>
      <c r="X25" s="896"/>
      <c r="Y25" s="878"/>
      <c r="Z25" s="888"/>
      <c r="AA25" s="893"/>
    </row>
    <row r="26" spans="1:27" s="661" customFormat="1" ht="18.75" customHeight="1">
      <c r="A26" s="879"/>
      <c r="B26" s="879"/>
      <c r="C26" s="906"/>
      <c r="D26" s="879"/>
      <c r="E26" s="879"/>
      <c r="F26" s="884"/>
      <c r="G26" s="916"/>
      <c r="H26" s="888"/>
      <c r="I26" s="767" t="s">
        <v>269</v>
      </c>
      <c r="J26" s="658">
        <f>VLOOKUP($I26,Prices!A:B,2,0)</f>
        <v>0</v>
      </c>
      <c r="K26" s="790">
        <f>VLOOKUP(I26,Prices!A:C,3,0)</f>
        <v>0</v>
      </c>
      <c r="L26" s="651">
        <v>28000</v>
      </c>
      <c r="M26" s="651" t="s">
        <v>194</v>
      </c>
      <c r="N26" s="708">
        <f>VLOOKUP($I26,Prices!A:D,4,0)</f>
        <v>2</v>
      </c>
      <c r="O26" s="772">
        <f t="shared" si="1"/>
        <v>56000</v>
      </c>
      <c r="P26" s="793" t="s">
        <v>194</v>
      </c>
      <c r="Q26" s="877"/>
      <c r="R26" s="877"/>
      <c r="S26" s="891"/>
      <c r="T26" s="888"/>
      <c r="U26" s="854"/>
      <c r="V26" s="884"/>
      <c r="W26" s="884"/>
      <c r="X26" s="896"/>
      <c r="Y26" s="878"/>
      <c r="Z26" s="888"/>
      <c r="AA26" s="893"/>
    </row>
    <row r="27" spans="1:27" s="666" customFormat="1" ht="81.75" customHeight="1">
      <c r="A27" s="767" t="s">
        <v>270</v>
      </c>
      <c r="B27" s="767" t="s">
        <v>257</v>
      </c>
      <c r="C27" s="776">
        <v>44715</v>
      </c>
      <c r="D27" s="767" t="s">
        <v>190</v>
      </c>
      <c r="E27" s="767" t="s">
        <v>199</v>
      </c>
      <c r="F27" s="662" t="s">
        <v>271</v>
      </c>
      <c r="G27" s="770" t="s">
        <v>259</v>
      </c>
      <c r="H27" s="663" t="s">
        <v>260</v>
      </c>
      <c r="I27" s="766" t="s">
        <v>272</v>
      </c>
      <c r="J27" s="658">
        <f>VLOOKUP($I27,Prices!A:B,2,0)</f>
        <v>0</v>
      </c>
      <c r="K27" s="790">
        <f>VLOOKUP(I27,Prices!A:C,3,0)</f>
        <v>0</v>
      </c>
      <c r="L27" s="664">
        <v>36</v>
      </c>
      <c r="M27" s="665" t="s">
        <v>194</v>
      </c>
      <c r="N27" s="647">
        <f>VLOOKUP($I27,Prices!A:D,4,0)</f>
        <v>220000</v>
      </c>
      <c r="O27" s="772">
        <f t="shared" si="1"/>
        <v>7920000</v>
      </c>
      <c r="P27" s="793" t="s">
        <v>194</v>
      </c>
      <c r="Q27" s="778">
        <f>O27</f>
        <v>7920000</v>
      </c>
      <c r="R27" s="778">
        <f>Q27/VLOOKUP(H27,'Currency Conversion'!B:C,2,0)</f>
        <v>7500000</v>
      </c>
      <c r="S27" s="790" t="s">
        <v>194</v>
      </c>
      <c r="T27" s="790" t="s">
        <v>240</v>
      </c>
      <c r="U27" s="756" t="s">
        <v>273</v>
      </c>
      <c r="V27" s="756" t="s">
        <v>274</v>
      </c>
      <c r="W27" s="787" t="s">
        <v>194</v>
      </c>
      <c r="X27" s="771" t="s">
        <v>194</v>
      </c>
      <c r="Y27" s="663">
        <v>0</v>
      </c>
      <c r="Z27" s="663">
        <v>0</v>
      </c>
      <c r="AA27" s="729" t="s">
        <v>194</v>
      </c>
    </row>
    <row r="28" spans="1:27" s="666" customFormat="1" ht="219" customHeight="1">
      <c r="A28" s="766" t="s">
        <v>275</v>
      </c>
      <c r="B28" s="766" t="s">
        <v>257</v>
      </c>
      <c r="C28" s="776">
        <v>44685</v>
      </c>
      <c r="D28" s="766" t="s">
        <v>190</v>
      </c>
      <c r="E28" s="766" t="s">
        <v>276</v>
      </c>
      <c r="F28" s="765" t="s">
        <v>277</v>
      </c>
      <c r="G28" s="807">
        <v>36900000</v>
      </c>
      <c r="H28" s="759" t="s">
        <v>278</v>
      </c>
      <c r="I28" s="766" t="s">
        <v>194</v>
      </c>
      <c r="J28" s="658" t="str">
        <f>VLOOKUP($I28,Prices!A:B,2,0)</f>
        <v>.</v>
      </c>
      <c r="K28" s="790" t="s">
        <v>194</v>
      </c>
      <c r="L28" s="664" t="s">
        <v>194</v>
      </c>
      <c r="M28" s="665" t="s">
        <v>194</v>
      </c>
      <c r="N28" s="708" t="str">
        <f>VLOOKUP($I28,Prices!A:D,4,0)</f>
        <v>.</v>
      </c>
      <c r="O28" s="772" t="s">
        <v>194</v>
      </c>
      <c r="P28" s="793" t="s">
        <v>194</v>
      </c>
      <c r="Q28" s="778">
        <f>G28</f>
        <v>36900000</v>
      </c>
      <c r="R28" s="778">
        <f>Q28/VLOOKUP(H28,'Currency Conversion'!B:C,2,0)</f>
        <v>36900000</v>
      </c>
      <c r="S28" s="790" t="s">
        <v>194</v>
      </c>
      <c r="T28" s="759" t="s">
        <v>240</v>
      </c>
      <c r="U28" s="756" t="s">
        <v>279</v>
      </c>
      <c r="V28" s="756" t="s">
        <v>280</v>
      </c>
      <c r="W28" s="756" t="s">
        <v>281</v>
      </c>
      <c r="X28" s="771" t="s">
        <v>194</v>
      </c>
      <c r="Y28" s="663">
        <v>0</v>
      </c>
      <c r="Z28" s="759">
        <v>0</v>
      </c>
      <c r="AA28" s="813" t="s">
        <v>194</v>
      </c>
    </row>
    <row r="29" spans="1:27" s="668" customFormat="1" ht="30" customHeight="1">
      <c r="A29" s="873" t="s">
        <v>282</v>
      </c>
      <c r="B29" s="873" t="s">
        <v>257</v>
      </c>
      <c r="C29" s="867">
        <v>44633</v>
      </c>
      <c r="D29" s="868" t="s">
        <v>212</v>
      </c>
      <c r="E29" s="868" t="s">
        <v>221</v>
      </c>
      <c r="F29" s="890" t="s">
        <v>283</v>
      </c>
      <c r="G29" s="875" t="s">
        <v>259</v>
      </c>
      <c r="H29" s="870" t="s">
        <v>260</v>
      </c>
      <c r="I29" s="775" t="s">
        <v>284</v>
      </c>
      <c r="J29" s="658">
        <f>VLOOKUP($I29,Prices!A:B,2,0)</f>
        <v>1</v>
      </c>
      <c r="K29" s="790">
        <f>VLOOKUP(I29,Prices!A:C,3,0)</f>
        <v>0</v>
      </c>
      <c r="L29" s="667">
        <v>200000</v>
      </c>
      <c r="M29" s="788">
        <v>200000</v>
      </c>
      <c r="N29" s="647">
        <f>VLOOKUP($I29,Prices!A:D,4,0)</f>
        <v>1.29</v>
      </c>
      <c r="O29" s="772">
        <f t="shared" si="1"/>
        <v>258000</v>
      </c>
      <c r="P29" s="793">
        <f t="shared" si="2"/>
        <v>258000</v>
      </c>
      <c r="Q29" s="869">
        <f>SUM(O29:O32)</f>
        <v>3575659.05</v>
      </c>
      <c r="R29" s="869">
        <f>Q29/VLOOKUP(H29,'Currency Conversion'!B:C,2,0)</f>
        <v>3386040.7670454541</v>
      </c>
      <c r="S29" s="886">
        <f>R29</f>
        <v>3386040.7670454541</v>
      </c>
      <c r="T29" s="870" t="s">
        <v>195</v>
      </c>
      <c r="U29" s="854" t="s">
        <v>285</v>
      </c>
      <c r="V29" s="854" t="s">
        <v>286</v>
      </c>
      <c r="W29" s="890" t="s">
        <v>194</v>
      </c>
      <c r="X29" s="880" t="s">
        <v>194</v>
      </c>
      <c r="Y29" s="878">
        <v>0</v>
      </c>
      <c r="Z29" s="870">
        <v>0</v>
      </c>
      <c r="AA29" s="762" t="s">
        <v>287</v>
      </c>
    </row>
    <row r="30" spans="1:27" s="668" customFormat="1" ht="24" customHeight="1">
      <c r="A30" s="873"/>
      <c r="B30" s="873"/>
      <c r="C30" s="867"/>
      <c r="D30" s="868"/>
      <c r="E30" s="868"/>
      <c r="F30" s="890"/>
      <c r="G30" s="875"/>
      <c r="H30" s="870"/>
      <c r="I30" s="775" t="s">
        <v>288</v>
      </c>
      <c r="J30" s="658">
        <f>VLOOKUP($I30,Prices!A:B,2,0)</f>
        <v>1</v>
      </c>
      <c r="K30" s="790">
        <f>VLOOKUP(I30,Prices!A:C,3,0)</f>
        <v>0</v>
      </c>
      <c r="L30" s="667">
        <v>10059</v>
      </c>
      <c r="M30" s="667">
        <v>10059</v>
      </c>
      <c r="N30" s="707">
        <f>VLOOKUP($I30,Prices!A:D,4,0)</f>
        <v>36.950000000000003</v>
      </c>
      <c r="O30" s="772">
        <f t="shared" si="1"/>
        <v>371680.05000000005</v>
      </c>
      <c r="P30" s="793">
        <f t="shared" si="2"/>
        <v>371680.05000000005</v>
      </c>
      <c r="Q30" s="869"/>
      <c r="R30" s="869"/>
      <c r="S30" s="886"/>
      <c r="T30" s="870"/>
      <c r="U30" s="854"/>
      <c r="V30" s="854"/>
      <c r="W30" s="890"/>
      <c r="X30" s="880"/>
      <c r="Y30" s="878"/>
      <c r="Z30" s="870"/>
      <c r="AA30" s="762" t="s">
        <v>285</v>
      </c>
    </row>
    <row r="31" spans="1:27" s="668" customFormat="1" ht="24.75" customHeight="1">
      <c r="A31" s="873"/>
      <c r="B31" s="873"/>
      <c r="C31" s="867"/>
      <c r="D31" s="868"/>
      <c r="E31" s="868"/>
      <c r="F31" s="890"/>
      <c r="G31" s="875"/>
      <c r="H31" s="870"/>
      <c r="I31" s="775" t="s">
        <v>289</v>
      </c>
      <c r="J31" s="658">
        <f>VLOOKUP($I31,Prices!A:B,2,0)</f>
        <v>1</v>
      </c>
      <c r="K31" s="790">
        <f>VLOOKUP(I31,Prices!A:C,3,0)</f>
        <v>0</v>
      </c>
      <c r="L31" s="667">
        <v>9300</v>
      </c>
      <c r="M31" s="667">
        <v>9300</v>
      </c>
      <c r="N31" s="647">
        <f>VLOOKUP($I31,Prices!A:D,4,0)</f>
        <v>316.68</v>
      </c>
      <c r="O31" s="772">
        <f t="shared" si="1"/>
        <v>2945124</v>
      </c>
      <c r="P31" s="793">
        <f t="shared" si="2"/>
        <v>2945124</v>
      </c>
      <c r="Q31" s="869"/>
      <c r="R31" s="869"/>
      <c r="S31" s="886"/>
      <c r="T31" s="870"/>
      <c r="U31" s="854"/>
      <c r="V31" s="854"/>
      <c r="W31" s="890"/>
      <c r="X31" s="880"/>
      <c r="Y31" s="878"/>
      <c r="Z31" s="870"/>
      <c r="AA31" s="762" t="s">
        <v>285</v>
      </c>
    </row>
    <row r="32" spans="1:27" s="668" customFormat="1" ht="26.25" customHeight="1">
      <c r="A32" s="873"/>
      <c r="B32" s="873"/>
      <c r="C32" s="867"/>
      <c r="D32" s="868"/>
      <c r="E32" s="868"/>
      <c r="F32" s="890"/>
      <c r="G32" s="875"/>
      <c r="H32" s="870"/>
      <c r="I32" s="775" t="s">
        <v>290</v>
      </c>
      <c r="J32" s="658">
        <f>VLOOKUP($I32,Prices!A:B,2,0)</f>
        <v>1</v>
      </c>
      <c r="K32" s="790">
        <f>VLOOKUP(I32,Prices!A:C,3,0)</f>
        <v>0</v>
      </c>
      <c r="L32" s="667">
        <v>1500</v>
      </c>
      <c r="M32" s="667">
        <v>1500</v>
      </c>
      <c r="N32" s="707">
        <f>VLOOKUP($I32,Prices!A:D,4,0)</f>
        <v>0.56999999999999995</v>
      </c>
      <c r="O32" s="772">
        <f t="shared" si="1"/>
        <v>854.99999999999989</v>
      </c>
      <c r="P32" s="793">
        <f t="shared" si="2"/>
        <v>854.99999999999989</v>
      </c>
      <c r="Q32" s="869"/>
      <c r="R32" s="869"/>
      <c r="S32" s="886"/>
      <c r="T32" s="870"/>
      <c r="U32" s="854"/>
      <c r="V32" s="854"/>
      <c r="W32" s="890"/>
      <c r="X32" s="880"/>
      <c r="Y32" s="878"/>
      <c r="Z32" s="870"/>
      <c r="AA32" s="762" t="s">
        <v>285</v>
      </c>
    </row>
    <row r="33" spans="1:27" s="668" customFormat="1" ht="100.5" customHeight="1">
      <c r="A33" s="767" t="s">
        <v>291</v>
      </c>
      <c r="B33" s="766" t="s">
        <v>257</v>
      </c>
      <c r="C33" s="768">
        <v>44627</v>
      </c>
      <c r="D33" s="767" t="s">
        <v>292</v>
      </c>
      <c r="E33" s="767" t="s">
        <v>276</v>
      </c>
      <c r="F33" s="787" t="s">
        <v>293</v>
      </c>
      <c r="G33" s="770">
        <v>10000000</v>
      </c>
      <c r="H33" s="761" t="s">
        <v>278</v>
      </c>
      <c r="I33" s="767" t="s">
        <v>194</v>
      </c>
      <c r="J33" s="658" t="str">
        <f>VLOOKUP($I33,Prices!A:B,2,0)</f>
        <v>.</v>
      </c>
      <c r="K33" s="790" t="s">
        <v>194</v>
      </c>
      <c r="L33" s="667" t="s">
        <v>194</v>
      </c>
      <c r="M33" s="651" t="s">
        <v>194</v>
      </c>
      <c r="N33" s="647" t="str">
        <f>VLOOKUP($I33,Prices!A:D,4,0)</f>
        <v>.</v>
      </c>
      <c r="O33" s="772" t="s">
        <v>194</v>
      </c>
      <c r="P33" s="793" t="s">
        <v>194</v>
      </c>
      <c r="Q33" s="769">
        <f>G33</f>
        <v>10000000</v>
      </c>
      <c r="R33" s="769">
        <f>Q33/VLOOKUP(H33,'Currency Conversion'!B:C,2,0)</f>
        <v>10000000</v>
      </c>
      <c r="S33" s="763" t="s">
        <v>194</v>
      </c>
      <c r="T33" s="761" t="s">
        <v>240</v>
      </c>
      <c r="U33" s="756" t="s">
        <v>294</v>
      </c>
      <c r="V33" s="787" t="s">
        <v>194</v>
      </c>
      <c r="W33" s="787" t="s">
        <v>194</v>
      </c>
      <c r="X33" s="771" t="s">
        <v>194</v>
      </c>
      <c r="Y33" s="759">
        <v>1</v>
      </c>
      <c r="Z33" s="761">
        <v>0</v>
      </c>
      <c r="AA33" s="802" t="s">
        <v>194</v>
      </c>
    </row>
    <row r="34" spans="1:27" s="668" customFormat="1" ht="30.75" customHeight="1">
      <c r="A34" s="879" t="s">
        <v>295</v>
      </c>
      <c r="B34" s="873" t="s">
        <v>296</v>
      </c>
      <c r="C34" s="906">
        <v>44621</v>
      </c>
      <c r="D34" s="879" t="s">
        <v>190</v>
      </c>
      <c r="E34" s="879" t="s">
        <v>199</v>
      </c>
      <c r="F34" s="884" t="s">
        <v>297</v>
      </c>
      <c r="G34" s="916">
        <v>3400000</v>
      </c>
      <c r="H34" s="888" t="s">
        <v>278</v>
      </c>
      <c r="I34" s="767" t="s">
        <v>266</v>
      </c>
      <c r="J34" s="658">
        <f>VLOOKUP($I34,Prices!A:B,2,0)</f>
        <v>0</v>
      </c>
      <c r="K34" s="790">
        <f>VLOOKUP(I34,Prices!A:C,3,0)</f>
        <v>0</v>
      </c>
      <c r="L34" s="667">
        <v>400000</v>
      </c>
      <c r="M34" s="651" t="s">
        <v>194</v>
      </c>
      <c r="N34" s="707">
        <f>VLOOKUP($I34,Prices!A:D,4,0)</f>
        <v>0.15</v>
      </c>
      <c r="O34" s="772">
        <f t="shared" si="1"/>
        <v>60000</v>
      </c>
      <c r="P34" s="793" t="s">
        <v>194</v>
      </c>
      <c r="Q34" s="877">
        <f>G34</f>
        <v>3400000</v>
      </c>
      <c r="R34" s="877">
        <f>Q34/VLOOKUP(H34,'Currency Conversion'!B:C,2,0)</f>
        <v>3400000</v>
      </c>
      <c r="S34" s="891" t="s">
        <v>194</v>
      </c>
      <c r="T34" s="888" t="s">
        <v>298</v>
      </c>
      <c r="U34" s="854" t="s">
        <v>299</v>
      </c>
      <c r="V34" s="884" t="s">
        <v>194</v>
      </c>
      <c r="W34" s="884" t="s">
        <v>194</v>
      </c>
      <c r="X34" s="896" t="s">
        <v>194</v>
      </c>
      <c r="Y34" s="878">
        <v>0</v>
      </c>
      <c r="Z34" s="888">
        <v>0</v>
      </c>
      <c r="AA34" s="893" t="s">
        <v>194</v>
      </c>
    </row>
    <row r="35" spans="1:27" s="668" customFormat="1" ht="26.25" customHeight="1">
      <c r="A35" s="879"/>
      <c r="B35" s="873"/>
      <c r="C35" s="906"/>
      <c r="D35" s="879"/>
      <c r="E35" s="879"/>
      <c r="F35" s="884"/>
      <c r="G35" s="916"/>
      <c r="H35" s="888"/>
      <c r="I35" s="767" t="s">
        <v>300</v>
      </c>
      <c r="J35" s="658">
        <f>VLOOKUP($I35,Prices!A:B,2,0)</f>
        <v>0</v>
      </c>
      <c r="K35" s="790">
        <f>VLOOKUP(I35,Prices!A:C,3,0)</f>
        <v>0</v>
      </c>
      <c r="L35" s="667">
        <v>600000</v>
      </c>
      <c r="M35" s="651" t="s">
        <v>194</v>
      </c>
      <c r="N35" s="647" t="str">
        <f>VLOOKUP($I35,Prices!A:D,4,0)</f>
        <v>.</v>
      </c>
      <c r="O35" s="772" t="s">
        <v>194</v>
      </c>
      <c r="P35" s="793" t="s">
        <v>194</v>
      </c>
      <c r="Q35" s="877"/>
      <c r="R35" s="877"/>
      <c r="S35" s="891"/>
      <c r="T35" s="888"/>
      <c r="U35" s="854"/>
      <c r="V35" s="884"/>
      <c r="W35" s="884"/>
      <c r="X35" s="896"/>
      <c r="Y35" s="878"/>
      <c r="Z35" s="888"/>
      <c r="AA35" s="893"/>
    </row>
    <row r="36" spans="1:27" s="668" customFormat="1" ht="32.25" customHeight="1">
      <c r="A36" s="879"/>
      <c r="B36" s="873"/>
      <c r="C36" s="906"/>
      <c r="D36" s="879"/>
      <c r="E36" s="879"/>
      <c r="F36" s="884"/>
      <c r="G36" s="916"/>
      <c r="H36" s="888"/>
      <c r="I36" s="767" t="s">
        <v>301</v>
      </c>
      <c r="J36" s="658">
        <f>VLOOKUP($I36,Prices!A:B,2,0)</f>
        <v>0</v>
      </c>
      <c r="K36" s="790">
        <f>VLOOKUP(I36,Prices!A:C,3,0)</f>
        <v>0</v>
      </c>
      <c r="L36" s="667">
        <v>10000000</v>
      </c>
      <c r="M36" s="651" t="s">
        <v>194</v>
      </c>
      <c r="N36" s="708">
        <f>VLOOKUP($I36,Prices!A:D,4,0)</f>
        <v>3.5000000000000003E-2</v>
      </c>
      <c r="O36" s="772">
        <f t="shared" si="1"/>
        <v>350000.00000000006</v>
      </c>
      <c r="P36" s="793" t="s">
        <v>194</v>
      </c>
      <c r="Q36" s="877"/>
      <c r="R36" s="877"/>
      <c r="S36" s="891"/>
      <c r="T36" s="888"/>
      <c r="U36" s="854"/>
      <c r="V36" s="884"/>
      <c r="W36" s="884"/>
      <c r="X36" s="896"/>
      <c r="Y36" s="878"/>
      <c r="Z36" s="888"/>
      <c r="AA36" s="893"/>
    </row>
    <row r="37" spans="1:27" ht="63" customHeight="1">
      <c r="A37" s="767" t="s">
        <v>302</v>
      </c>
      <c r="B37" s="767" t="s">
        <v>296</v>
      </c>
      <c r="C37" s="768">
        <v>44622</v>
      </c>
      <c r="D37" s="767" t="s">
        <v>190</v>
      </c>
      <c r="E37" s="766" t="s">
        <v>199</v>
      </c>
      <c r="F37" s="787" t="s">
        <v>303</v>
      </c>
      <c r="G37" s="770">
        <v>230000</v>
      </c>
      <c r="H37" s="761" t="s">
        <v>278</v>
      </c>
      <c r="I37" s="767" t="s">
        <v>194</v>
      </c>
      <c r="J37" s="658" t="str">
        <f>VLOOKUP($I37,Prices!A:B,2,0)</f>
        <v>.</v>
      </c>
      <c r="K37" s="790" t="s">
        <v>194</v>
      </c>
      <c r="L37" s="651" t="s">
        <v>194</v>
      </c>
      <c r="M37" s="651" t="s">
        <v>194</v>
      </c>
      <c r="N37" s="647" t="str">
        <f>VLOOKUP($I37,Prices!A:D,4,0)</f>
        <v>.</v>
      </c>
      <c r="O37" s="772" t="s">
        <v>194</v>
      </c>
      <c r="P37" s="793" t="s">
        <v>194</v>
      </c>
      <c r="Q37" s="769">
        <f>G37</f>
        <v>230000</v>
      </c>
      <c r="R37" s="769">
        <f>Q37/VLOOKUP(H37,'Currency Conversion'!B:C,2,0)</f>
        <v>230000</v>
      </c>
      <c r="S37" s="763" t="s">
        <v>194</v>
      </c>
      <c r="T37" s="761" t="s">
        <v>195</v>
      </c>
      <c r="U37" s="756" t="s">
        <v>304</v>
      </c>
      <c r="V37" s="787" t="s">
        <v>194</v>
      </c>
      <c r="W37" s="787" t="s">
        <v>194</v>
      </c>
      <c r="X37" s="771" t="s">
        <v>194</v>
      </c>
      <c r="Y37" s="759">
        <v>0</v>
      </c>
      <c r="Z37" s="761">
        <v>0</v>
      </c>
      <c r="AA37" s="802" t="s">
        <v>194</v>
      </c>
    </row>
    <row r="38" spans="1:27" s="661" customFormat="1" ht="68.25" customHeight="1">
      <c r="A38" s="767" t="s">
        <v>305</v>
      </c>
      <c r="B38" s="767" t="s">
        <v>296</v>
      </c>
      <c r="C38" s="768">
        <v>44660</v>
      </c>
      <c r="D38" s="767" t="s">
        <v>190</v>
      </c>
      <c r="E38" s="766" t="s">
        <v>306</v>
      </c>
      <c r="F38" s="787" t="s">
        <v>307</v>
      </c>
      <c r="G38" s="770">
        <v>83000000</v>
      </c>
      <c r="H38" s="761" t="s">
        <v>278</v>
      </c>
      <c r="I38" s="767" t="s">
        <v>194</v>
      </c>
      <c r="J38" s="658" t="str">
        <f>VLOOKUP($I38,Prices!A:B,2,0)</f>
        <v>.</v>
      </c>
      <c r="K38" s="790" t="s">
        <v>194</v>
      </c>
      <c r="L38" s="651" t="s">
        <v>194</v>
      </c>
      <c r="M38" s="651" t="s">
        <v>194</v>
      </c>
      <c r="N38" s="708" t="str">
        <f>VLOOKUP($I38,Prices!A:D,4,0)</f>
        <v>.</v>
      </c>
      <c r="O38" s="772" t="s">
        <v>194</v>
      </c>
      <c r="P38" s="793" t="s">
        <v>194</v>
      </c>
      <c r="Q38" s="770">
        <f>G38</f>
        <v>83000000</v>
      </c>
      <c r="R38" s="769">
        <f>Q38/VLOOKUP(H38,'Currency Conversion'!B:C,2,0)</f>
        <v>83000000</v>
      </c>
      <c r="S38" s="763" t="s">
        <v>194</v>
      </c>
      <c r="T38" s="761" t="s">
        <v>195</v>
      </c>
      <c r="U38" s="756" t="s">
        <v>308</v>
      </c>
      <c r="V38" s="756" t="s">
        <v>309</v>
      </c>
      <c r="W38" s="787" t="s">
        <v>194</v>
      </c>
      <c r="X38" s="771" t="s">
        <v>194</v>
      </c>
      <c r="Y38" s="759">
        <v>0</v>
      </c>
      <c r="Z38" s="761">
        <v>0</v>
      </c>
      <c r="AA38" s="802" t="s">
        <v>194</v>
      </c>
    </row>
    <row r="39" spans="1:27" s="661" customFormat="1" ht="68.25" customHeight="1">
      <c r="A39" s="775" t="s">
        <v>310</v>
      </c>
      <c r="B39" s="775" t="s">
        <v>296</v>
      </c>
      <c r="C39" s="780">
        <v>44686</v>
      </c>
      <c r="D39" s="775" t="s">
        <v>190</v>
      </c>
      <c r="E39" s="766" t="s">
        <v>191</v>
      </c>
      <c r="F39" s="773" t="s">
        <v>311</v>
      </c>
      <c r="G39" s="777">
        <v>29770000</v>
      </c>
      <c r="H39" s="757" t="s">
        <v>278</v>
      </c>
      <c r="I39" s="775" t="s">
        <v>194</v>
      </c>
      <c r="J39" s="658" t="str">
        <f>VLOOKUP($I39,Prices!A:B,2,0)</f>
        <v>.</v>
      </c>
      <c r="K39" s="790" t="s">
        <v>194</v>
      </c>
      <c r="L39" s="788" t="s">
        <v>194</v>
      </c>
      <c r="M39" s="788" t="s">
        <v>194</v>
      </c>
      <c r="N39" s="647" t="str">
        <f>VLOOKUP($I39,Prices!A:D,4,0)</f>
        <v>.</v>
      </c>
      <c r="O39" s="772" t="s">
        <v>194</v>
      </c>
      <c r="P39" s="793" t="s">
        <v>194</v>
      </c>
      <c r="Q39" s="777">
        <f>G39</f>
        <v>29770000</v>
      </c>
      <c r="R39" s="772">
        <f>Q39/VLOOKUP(H39,'Currency Conversion'!B:C,2,0)</f>
        <v>29770000</v>
      </c>
      <c r="S39" s="749" t="s">
        <v>194</v>
      </c>
      <c r="T39" s="757" t="s">
        <v>195</v>
      </c>
      <c r="U39" s="756" t="s">
        <v>312</v>
      </c>
      <c r="V39" s="756" t="s">
        <v>194</v>
      </c>
      <c r="W39" s="773" t="s">
        <v>194</v>
      </c>
      <c r="X39" s="784" t="s">
        <v>194</v>
      </c>
      <c r="Y39" s="759">
        <v>0</v>
      </c>
      <c r="Z39" s="757">
        <v>0</v>
      </c>
      <c r="AA39" s="799" t="s">
        <v>194</v>
      </c>
    </row>
    <row r="40" spans="1:27" ht="21" customHeight="1">
      <c r="A40" s="879" t="s">
        <v>313</v>
      </c>
      <c r="B40" s="879" t="s">
        <v>296</v>
      </c>
      <c r="C40" s="906">
        <v>44618</v>
      </c>
      <c r="D40" s="879" t="s">
        <v>212</v>
      </c>
      <c r="E40" s="896" t="s">
        <v>213</v>
      </c>
      <c r="F40" s="884" t="s">
        <v>314</v>
      </c>
      <c r="G40" s="916">
        <v>76000000</v>
      </c>
      <c r="H40" s="888" t="s">
        <v>278</v>
      </c>
      <c r="I40" s="767" t="s">
        <v>315</v>
      </c>
      <c r="J40" s="658">
        <f>VLOOKUP($I40,Prices!A:B,2,0)</f>
        <v>2</v>
      </c>
      <c r="K40" s="790">
        <f>VLOOKUP(I40,Prices!A:C,3,0)</f>
        <v>0</v>
      </c>
      <c r="L40" s="651">
        <v>2000</v>
      </c>
      <c r="M40" s="651">
        <v>2000</v>
      </c>
      <c r="N40" s="708">
        <f>VLOOKUP($I40,Prices!A:D,4,0)</f>
        <v>3000</v>
      </c>
      <c r="O40" s="772">
        <f t="shared" si="1"/>
        <v>6000000</v>
      </c>
      <c r="P40" s="793">
        <f t="shared" si="2"/>
        <v>6000000</v>
      </c>
      <c r="Q40" s="877">
        <f>G40</f>
        <v>76000000</v>
      </c>
      <c r="R40" s="877">
        <f>Q40/VLOOKUP(H40,'Currency Conversion'!B:C,2,0)</f>
        <v>76000000</v>
      </c>
      <c r="S40" s="891">
        <f>R40</f>
        <v>76000000</v>
      </c>
      <c r="T40" s="888" t="s">
        <v>195</v>
      </c>
      <c r="U40" s="854" t="s">
        <v>316</v>
      </c>
      <c r="V40" s="854" t="s">
        <v>317</v>
      </c>
      <c r="W40" s="854" t="s">
        <v>318</v>
      </c>
      <c r="X40" s="896" t="s">
        <v>194</v>
      </c>
      <c r="Y40" s="878">
        <v>0</v>
      </c>
      <c r="Z40" s="888">
        <v>0</v>
      </c>
      <c r="AA40" s="899" t="s">
        <v>316</v>
      </c>
    </row>
    <row r="41" spans="1:27" ht="39" customHeight="1">
      <c r="A41" s="879"/>
      <c r="B41" s="879"/>
      <c r="C41" s="906"/>
      <c r="D41" s="879"/>
      <c r="E41" s="896"/>
      <c r="F41" s="884"/>
      <c r="G41" s="916"/>
      <c r="H41" s="888"/>
      <c r="I41" s="767" t="s">
        <v>319</v>
      </c>
      <c r="J41" s="658">
        <f>VLOOKUP($I41,Prices!A:B,2,0)</f>
        <v>1</v>
      </c>
      <c r="K41" s="790">
        <f>VLOOKUP(I41,Prices!A:C,3,0)</f>
        <v>0</v>
      </c>
      <c r="L41" s="651">
        <v>3800</v>
      </c>
      <c r="M41" s="651">
        <v>3800</v>
      </c>
      <c r="N41" s="647">
        <f>VLOOKUP($I41,Prices!A:D,4,0)</f>
        <v>1662.5</v>
      </c>
      <c r="O41" s="772">
        <f t="shared" si="1"/>
        <v>6317500</v>
      </c>
      <c r="P41" s="793">
        <f t="shared" si="2"/>
        <v>6317500</v>
      </c>
      <c r="Q41" s="877"/>
      <c r="R41" s="877"/>
      <c r="S41" s="891"/>
      <c r="T41" s="888"/>
      <c r="U41" s="854"/>
      <c r="V41" s="854"/>
      <c r="W41" s="854"/>
      <c r="X41" s="896"/>
      <c r="Y41" s="878"/>
      <c r="Z41" s="888"/>
      <c r="AA41" s="899"/>
    </row>
    <row r="42" spans="1:27" ht="21.95" customHeight="1">
      <c r="A42" s="879"/>
      <c r="B42" s="879"/>
      <c r="C42" s="906">
        <v>44619</v>
      </c>
      <c r="D42" s="879"/>
      <c r="E42" s="896" t="s">
        <v>320</v>
      </c>
      <c r="F42" s="884" t="s">
        <v>321</v>
      </c>
      <c r="G42" s="916"/>
      <c r="H42" s="888"/>
      <c r="I42" s="767" t="s">
        <v>315</v>
      </c>
      <c r="J42" s="658">
        <f>VLOOKUP($I42,Prices!A:B,2,0)</f>
        <v>2</v>
      </c>
      <c r="K42" s="790">
        <f>VLOOKUP(I42,Prices!A:C,3,0)</f>
        <v>0</v>
      </c>
      <c r="L42" s="651">
        <v>3000</v>
      </c>
      <c r="M42" s="651">
        <v>3000</v>
      </c>
      <c r="N42" s="708">
        <f>VLOOKUP($I42,Prices!A:D,4,0)</f>
        <v>3000</v>
      </c>
      <c r="O42" s="772">
        <f t="shared" si="1"/>
        <v>9000000</v>
      </c>
      <c r="P42" s="793">
        <f t="shared" si="2"/>
        <v>9000000</v>
      </c>
      <c r="Q42" s="877"/>
      <c r="R42" s="877"/>
      <c r="S42" s="891"/>
      <c r="T42" s="888" t="s">
        <v>195</v>
      </c>
      <c r="U42" s="854"/>
      <c r="V42" s="854" t="s">
        <v>322</v>
      </c>
      <c r="W42" s="854" t="s">
        <v>318</v>
      </c>
      <c r="X42" s="879" t="s">
        <v>194</v>
      </c>
      <c r="Y42" s="878"/>
      <c r="Z42" s="888"/>
      <c r="AA42" s="899"/>
    </row>
    <row r="43" spans="1:27" ht="45.95" customHeight="1">
      <c r="A43" s="879"/>
      <c r="B43" s="879"/>
      <c r="C43" s="906"/>
      <c r="D43" s="879"/>
      <c r="E43" s="896"/>
      <c r="F43" s="884"/>
      <c r="G43" s="916"/>
      <c r="H43" s="888"/>
      <c r="I43" s="767" t="s">
        <v>323</v>
      </c>
      <c r="J43" s="658">
        <f>VLOOKUP($I43,Prices!A:B,2,0)</f>
        <v>3</v>
      </c>
      <c r="K43" s="790">
        <f>VLOOKUP(I43,Prices!A:C,3,0)</f>
        <v>0</v>
      </c>
      <c r="L43" s="651">
        <v>200</v>
      </c>
      <c r="M43" s="651">
        <v>200</v>
      </c>
      <c r="N43" s="647">
        <f>VLOOKUP($I43,Prices!A:D,4,0)</f>
        <v>2000</v>
      </c>
      <c r="O43" s="772">
        <f>$L43*$N43</f>
        <v>400000</v>
      </c>
      <c r="P43" s="793">
        <f t="shared" si="2"/>
        <v>400000</v>
      </c>
      <c r="Q43" s="877"/>
      <c r="R43" s="877"/>
      <c r="S43" s="891"/>
      <c r="T43" s="888"/>
      <c r="U43" s="854"/>
      <c r="V43" s="854"/>
      <c r="W43" s="854"/>
      <c r="X43" s="879"/>
      <c r="Y43" s="878"/>
      <c r="Z43" s="888"/>
      <c r="AA43" s="899"/>
    </row>
    <row r="44" spans="1:27" s="141" customFormat="1" ht="99" customHeight="1">
      <c r="A44" s="879"/>
      <c r="B44" s="879"/>
      <c r="C44" s="780">
        <v>44638</v>
      </c>
      <c r="D44" s="879"/>
      <c r="E44" s="784" t="s">
        <v>320</v>
      </c>
      <c r="F44" s="773" t="s">
        <v>324</v>
      </c>
      <c r="G44" s="916"/>
      <c r="H44" s="888"/>
      <c r="I44" s="775" t="s">
        <v>194</v>
      </c>
      <c r="J44" s="658" t="str">
        <f>VLOOKUP($I44,Prices!A:B,2,0)</f>
        <v>.</v>
      </c>
      <c r="K44" s="790" t="s">
        <v>194</v>
      </c>
      <c r="L44" s="788" t="s">
        <v>194</v>
      </c>
      <c r="M44" s="788" t="s">
        <v>194</v>
      </c>
      <c r="N44" s="708" t="str">
        <f>VLOOKUP($I44,Prices!A:D,4,0)</f>
        <v>.</v>
      </c>
      <c r="O44" s="772" t="s">
        <v>194</v>
      </c>
      <c r="P44" s="793" t="s">
        <v>194</v>
      </c>
      <c r="Q44" s="877"/>
      <c r="R44" s="877"/>
      <c r="S44" s="891"/>
      <c r="T44" s="757" t="s">
        <v>325</v>
      </c>
      <c r="U44" s="854"/>
      <c r="V44" s="756" t="s">
        <v>326</v>
      </c>
      <c r="W44" s="756" t="s">
        <v>327</v>
      </c>
      <c r="X44" s="784" t="s">
        <v>194</v>
      </c>
      <c r="Y44" s="878"/>
      <c r="Z44" s="888"/>
      <c r="AA44" s="899"/>
    </row>
    <row r="45" spans="1:27" ht="61.5" customHeight="1">
      <c r="A45" s="767" t="s">
        <v>328</v>
      </c>
      <c r="B45" s="767" t="s">
        <v>329</v>
      </c>
      <c r="C45" s="768">
        <v>44619</v>
      </c>
      <c r="D45" s="767" t="s">
        <v>190</v>
      </c>
      <c r="E45" s="767" t="s">
        <v>191</v>
      </c>
      <c r="F45" s="787" t="s">
        <v>330</v>
      </c>
      <c r="G45" s="796" t="s">
        <v>259</v>
      </c>
      <c r="H45" s="761" t="s">
        <v>194</v>
      </c>
      <c r="I45" s="767" t="s">
        <v>194</v>
      </c>
      <c r="J45" s="658" t="str">
        <f>VLOOKUP($I45,Prices!A:B,2,0)</f>
        <v>.</v>
      </c>
      <c r="K45" s="790" t="s">
        <v>194</v>
      </c>
      <c r="L45" s="651" t="s">
        <v>194</v>
      </c>
      <c r="M45" s="651" t="s">
        <v>194</v>
      </c>
      <c r="N45" s="647" t="str">
        <f>VLOOKUP($I45,Prices!A:D,4,0)</f>
        <v>.</v>
      </c>
      <c r="O45" s="772" t="s">
        <v>194</v>
      </c>
      <c r="P45" s="793" t="s">
        <v>194</v>
      </c>
      <c r="Q45" s="769" t="s">
        <v>194</v>
      </c>
      <c r="R45" s="769" t="s">
        <v>194</v>
      </c>
      <c r="S45" s="763" t="s">
        <v>194</v>
      </c>
      <c r="T45" s="761" t="s">
        <v>325</v>
      </c>
      <c r="U45" s="756" t="s">
        <v>331</v>
      </c>
      <c r="V45" s="756" t="s">
        <v>332</v>
      </c>
      <c r="W45" s="803" t="s">
        <v>194</v>
      </c>
      <c r="X45" s="767" t="s">
        <v>194</v>
      </c>
      <c r="Y45" s="759">
        <v>0</v>
      </c>
      <c r="Z45" s="761">
        <v>0</v>
      </c>
      <c r="AA45" s="802" t="s">
        <v>194</v>
      </c>
    </row>
    <row r="46" spans="1:27" ht="61.5" customHeight="1">
      <c r="A46" s="767" t="s">
        <v>333</v>
      </c>
      <c r="B46" s="767" t="s">
        <v>329</v>
      </c>
      <c r="C46" s="768">
        <v>44679</v>
      </c>
      <c r="D46" s="767" t="s">
        <v>190</v>
      </c>
      <c r="E46" s="767" t="s">
        <v>191</v>
      </c>
      <c r="F46" s="787" t="s">
        <v>334</v>
      </c>
      <c r="G46" s="796">
        <v>706000</v>
      </c>
      <c r="H46" s="761" t="s">
        <v>278</v>
      </c>
      <c r="I46" s="767" t="s">
        <v>194</v>
      </c>
      <c r="J46" s="658" t="str">
        <f>VLOOKUP($I46,Prices!A:B,2,0)</f>
        <v>.</v>
      </c>
      <c r="K46" s="790" t="s">
        <v>194</v>
      </c>
      <c r="L46" s="651" t="s">
        <v>194</v>
      </c>
      <c r="M46" s="651" t="s">
        <v>194</v>
      </c>
      <c r="N46" s="708" t="str">
        <f>VLOOKUP($I46,Prices!A:D,4,0)</f>
        <v>.</v>
      </c>
      <c r="O46" s="772" t="s">
        <v>194</v>
      </c>
      <c r="P46" s="793" t="s">
        <v>194</v>
      </c>
      <c r="Q46" s="770">
        <f>G46</f>
        <v>706000</v>
      </c>
      <c r="R46" s="770">
        <f>Q46/VLOOKUP(H46,'Currency Conversion'!B:C,2,0)</f>
        <v>706000</v>
      </c>
      <c r="S46" s="763" t="s">
        <v>194</v>
      </c>
      <c r="T46" s="761" t="s">
        <v>195</v>
      </c>
      <c r="U46" s="756" t="s">
        <v>335</v>
      </c>
      <c r="V46" s="756" t="s">
        <v>336</v>
      </c>
      <c r="W46" s="756" t="s">
        <v>337</v>
      </c>
      <c r="X46" s="767" t="s">
        <v>194</v>
      </c>
      <c r="Y46" s="759">
        <v>0</v>
      </c>
      <c r="Z46" s="761">
        <v>0</v>
      </c>
      <c r="AA46" s="802" t="s">
        <v>194</v>
      </c>
    </row>
    <row r="47" spans="1:27" s="141" customFormat="1" ht="61.5" customHeight="1">
      <c r="A47" s="775" t="s">
        <v>338</v>
      </c>
      <c r="B47" s="775" t="s">
        <v>329</v>
      </c>
      <c r="C47" s="780">
        <v>44685</v>
      </c>
      <c r="D47" s="775" t="s">
        <v>190</v>
      </c>
      <c r="E47" s="775" t="s">
        <v>199</v>
      </c>
      <c r="F47" s="773" t="s">
        <v>339</v>
      </c>
      <c r="G47" s="796" t="s">
        <v>201</v>
      </c>
      <c r="H47" s="757" t="s">
        <v>194</v>
      </c>
      <c r="I47" s="775" t="s">
        <v>194</v>
      </c>
      <c r="J47" s="658" t="str">
        <f>VLOOKUP($I47,Prices!A:B,2,0)</f>
        <v>.</v>
      </c>
      <c r="K47" s="790" t="s">
        <v>194</v>
      </c>
      <c r="L47" s="788" t="s">
        <v>194</v>
      </c>
      <c r="M47" s="651" t="s">
        <v>194</v>
      </c>
      <c r="N47" s="647" t="str">
        <f>VLOOKUP($I47,Prices!A:D,4,0)</f>
        <v>.</v>
      </c>
      <c r="O47" s="772" t="s">
        <v>194</v>
      </c>
      <c r="P47" s="793" t="s">
        <v>194</v>
      </c>
      <c r="Q47" s="772" t="s">
        <v>194</v>
      </c>
      <c r="R47" s="772" t="s">
        <v>194</v>
      </c>
      <c r="S47" s="763" t="s">
        <v>194</v>
      </c>
      <c r="T47" s="757" t="s">
        <v>298</v>
      </c>
      <c r="U47" s="756" t="s">
        <v>340</v>
      </c>
      <c r="V47" s="756" t="s">
        <v>341</v>
      </c>
      <c r="W47" s="801" t="s">
        <v>194</v>
      </c>
      <c r="X47" s="775" t="s">
        <v>194</v>
      </c>
      <c r="Y47" s="759">
        <v>0</v>
      </c>
      <c r="Z47" s="757">
        <v>0</v>
      </c>
      <c r="AA47" s="802" t="s">
        <v>194</v>
      </c>
    </row>
    <row r="48" spans="1:27" s="141" customFormat="1" ht="23.25" customHeight="1">
      <c r="A48" s="868" t="s">
        <v>342</v>
      </c>
      <c r="B48" s="868" t="s">
        <v>329</v>
      </c>
      <c r="C48" s="867">
        <v>44658</v>
      </c>
      <c r="D48" s="868" t="s">
        <v>212</v>
      </c>
      <c r="E48" s="868" t="s">
        <v>221</v>
      </c>
      <c r="F48" s="890" t="s">
        <v>343</v>
      </c>
      <c r="G48" s="935" t="s">
        <v>259</v>
      </c>
      <c r="H48" s="870" t="s">
        <v>260</v>
      </c>
      <c r="I48" s="775" t="s">
        <v>344</v>
      </c>
      <c r="J48" s="658">
        <f>VLOOKUP($I48,Prices!A:B,2,0)</f>
        <v>1</v>
      </c>
      <c r="K48" s="790">
        <f>VLOOKUP(I48,Prices!A:C,3,0)</f>
        <v>0</v>
      </c>
      <c r="L48" s="788">
        <v>2000</v>
      </c>
      <c r="M48" s="788">
        <v>2000</v>
      </c>
      <c r="N48" s="708">
        <f>VLOOKUP($I48,Prices!A:D,4,0)</f>
        <v>1400</v>
      </c>
      <c r="O48" s="772">
        <f t="shared" si="1"/>
        <v>2800000</v>
      </c>
      <c r="P48" s="793">
        <f t="shared" si="2"/>
        <v>2800000</v>
      </c>
      <c r="Q48" s="869">
        <f>SUM(O48:O49)</f>
        <v>3800000</v>
      </c>
      <c r="R48" s="869">
        <f>Q48/VLOOKUP(H48,'Currency Conversion'!B:C,2,0)</f>
        <v>3598484.8484848482</v>
      </c>
      <c r="S48" s="891">
        <f>R48</f>
        <v>3598484.8484848482</v>
      </c>
      <c r="T48" s="891" t="s">
        <v>298</v>
      </c>
      <c r="U48" s="922" t="s">
        <v>345</v>
      </c>
      <c r="V48" s="908" t="s">
        <v>346</v>
      </c>
      <c r="W48" s="921" t="s">
        <v>194</v>
      </c>
      <c r="X48" s="877" t="s">
        <v>194</v>
      </c>
      <c r="Y48" s="891">
        <v>0</v>
      </c>
      <c r="Z48" s="891">
        <v>0</v>
      </c>
      <c r="AA48" s="899" t="s">
        <v>347</v>
      </c>
    </row>
    <row r="49" spans="1:27" s="141" customFormat="1" ht="22.5" customHeight="1">
      <c r="A49" s="868"/>
      <c r="B49" s="868"/>
      <c r="C49" s="867"/>
      <c r="D49" s="868"/>
      <c r="E49" s="868"/>
      <c r="F49" s="890"/>
      <c r="G49" s="935"/>
      <c r="H49" s="870"/>
      <c r="I49" s="775" t="s">
        <v>348</v>
      </c>
      <c r="J49" s="658">
        <f>VLOOKUP($I49,Prices!A:B,2,0)</f>
        <v>1</v>
      </c>
      <c r="K49" s="790">
        <f>VLOOKUP(I49,Prices!A:C,3,0)</f>
        <v>0</v>
      </c>
      <c r="L49" s="788">
        <v>2000</v>
      </c>
      <c r="M49" s="788">
        <v>2000</v>
      </c>
      <c r="N49" s="647">
        <f>VLOOKUP($I49,Prices!A:D,4,0)</f>
        <v>500</v>
      </c>
      <c r="O49" s="772">
        <f t="shared" si="1"/>
        <v>1000000</v>
      </c>
      <c r="P49" s="793">
        <f t="shared" si="2"/>
        <v>1000000</v>
      </c>
      <c r="Q49" s="869"/>
      <c r="R49" s="869"/>
      <c r="S49" s="891"/>
      <c r="T49" s="891"/>
      <c r="U49" s="922"/>
      <c r="V49" s="908"/>
      <c r="W49" s="921"/>
      <c r="X49" s="877"/>
      <c r="Y49" s="891"/>
      <c r="Z49" s="891"/>
      <c r="AA49" s="899"/>
    </row>
    <row r="50" spans="1:27" s="661" customFormat="1" ht="69" customHeight="1">
      <c r="A50" s="767" t="s">
        <v>349</v>
      </c>
      <c r="B50" s="767" t="s">
        <v>350</v>
      </c>
      <c r="C50" s="768">
        <v>44606</v>
      </c>
      <c r="D50" s="767" t="s">
        <v>292</v>
      </c>
      <c r="E50" s="767" t="s">
        <v>351</v>
      </c>
      <c r="F50" s="662" t="s">
        <v>352</v>
      </c>
      <c r="G50" s="770">
        <v>500000000</v>
      </c>
      <c r="H50" s="761" t="s">
        <v>353</v>
      </c>
      <c r="I50" s="767" t="s">
        <v>194</v>
      </c>
      <c r="J50" s="658" t="str">
        <f>VLOOKUP($I50,Prices!A:B,2,0)</f>
        <v>.</v>
      </c>
      <c r="K50" s="790" t="s">
        <v>194</v>
      </c>
      <c r="L50" s="651" t="s">
        <v>194</v>
      </c>
      <c r="M50" s="651" t="s">
        <v>194</v>
      </c>
      <c r="N50" s="708" t="str">
        <f>VLOOKUP($I50,Prices!A:D,4,0)</f>
        <v>.</v>
      </c>
      <c r="O50" s="772" t="s">
        <v>194</v>
      </c>
      <c r="P50" s="793" t="s">
        <v>194</v>
      </c>
      <c r="Q50" s="770">
        <f>G50</f>
        <v>500000000</v>
      </c>
      <c r="R50" s="770">
        <f>Q50/VLOOKUP(H50,'Currency Conversion'!B:C,2,0)</f>
        <v>369412633.91207981</v>
      </c>
      <c r="S50" s="763" t="s">
        <v>194</v>
      </c>
      <c r="T50" s="759" t="s">
        <v>195</v>
      </c>
      <c r="U50" s="756" t="s">
        <v>354</v>
      </c>
      <c r="V50" s="201" t="s">
        <v>355</v>
      </c>
      <c r="W50" s="803" t="s">
        <v>194</v>
      </c>
      <c r="X50" s="767" t="s">
        <v>194</v>
      </c>
      <c r="Y50" s="759">
        <v>0</v>
      </c>
      <c r="Z50" s="761">
        <v>0</v>
      </c>
      <c r="AA50" s="653" t="s">
        <v>194</v>
      </c>
    </row>
    <row r="51" spans="1:27" s="661" customFormat="1" ht="92.25" customHeight="1">
      <c r="A51" s="767" t="s">
        <v>356</v>
      </c>
      <c r="B51" s="767" t="s">
        <v>350</v>
      </c>
      <c r="C51" s="768">
        <v>44658</v>
      </c>
      <c r="D51" s="767" t="s">
        <v>292</v>
      </c>
      <c r="E51" s="767" t="s">
        <v>351</v>
      </c>
      <c r="F51" s="765" t="s">
        <v>357</v>
      </c>
      <c r="G51" s="796">
        <v>1000000000</v>
      </c>
      <c r="H51" s="761" t="s">
        <v>353</v>
      </c>
      <c r="I51" s="767" t="s">
        <v>194</v>
      </c>
      <c r="J51" s="658" t="str">
        <f>VLOOKUP($I51,Prices!A:B,2,0)</f>
        <v>.</v>
      </c>
      <c r="K51" s="790" t="s">
        <v>194</v>
      </c>
      <c r="L51" s="651" t="s">
        <v>194</v>
      </c>
      <c r="M51" s="651" t="s">
        <v>194</v>
      </c>
      <c r="N51" s="647" t="s">
        <v>194</v>
      </c>
      <c r="O51" s="772" t="s">
        <v>194</v>
      </c>
      <c r="P51" s="793" t="s">
        <v>194</v>
      </c>
      <c r="Q51" s="769">
        <f>G51</f>
        <v>1000000000</v>
      </c>
      <c r="R51" s="770">
        <f>Q51/VLOOKUP(H51,'Currency Conversion'!B:C,2,0)</f>
        <v>738825267.82415962</v>
      </c>
      <c r="S51" s="763" t="s">
        <v>194</v>
      </c>
      <c r="T51" s="761" t="s">
        <v>325</v>
      </c>
      <c r="U51" s="756" t="s">
        <v>358</v>
      </c>
      <c r="V51" s="756" t="s">
        <v>359</v>
      </c>
      <c r="W51" s="756" t="s">
        <v>360</v>
      </c>
      <c r="X51" s="809" t="s">
        <v>361</v>
      </c>
      <c r="Y51" s="759">
        <v>1</v>
      </c>
      <c r="Z51" s="761">
        <v>1</v>
      </c>
      <c r="AA51" s="802" t="s">
        <v>194</v>
      </c>
    </row>
    <row r="52" spans="1:27" s="661" customFormat="1" ht="93" customHeight="1">
      <c r="A52" s="775" t="s">
        <v>362</v>
      </c>
      <c r="B52" s="775" t="s">
        <v>350</v>
      </c>
      <c r="C52" s="780">
        <v>44701</v>
      </c>
      <c r="D52" s="775" t="s">
        <v>292</v>
      </c>
      <c r="E52" s="775" t="s">
        <v>351</v>
      </c>
      <c r="F52" s="765" t="s">
        <v>363</v>
      </c>
      <c r="G52" s="796">
        <v>250000000</v>
      </c>
      <c r="H52" s="757" t="s">
        <v>353</v>
      </c>
      <c r="I52" s="775" t="s">
        <v>194</v>
      </c>
      <c r="J52" s="658" t="str">
        <f>VLOOKUP($I52,Prices!A:B,2,0)</f>
        <v>.</v>
      </c>
      <c r="K52" s="790" t="s">
        <v>194</v>
      </c>
      <c r="L52" s="788" t="s">
        <v>194</v>
      </c>
      <c r="M52" s="788" t="s">
        <v>194</v>
      </c>
      <c r="N52" s="708" t="str">
        <f>VLOOKUP($I52,Prices!A:D,4,0)</f>
        <v>.</v>
      </c>
      <c r="O52" s="772" t="s">
        <v>194</v>
      </c>
      <c r="P52" s="793" t="s">
        <v>194</v>
      </c>
      <c r="Q52" s="772">
        <f t="shared" ref="Q52:Q57" si="3">G52</f>
        <v>250000000</v>
      </c>
      <c r="R52" s="772">
        <f>Q52/VLOOKUP(H52,'Currency Conversion'!B:C,2,0)</f>
        <v>184706316.95603991</v>
      </c>
      <c r="S52" s="749" t="s">
        <v>194</v>
      </c>
      <c r="T52" s="749" t="s">
        <v>240</v>
      </c>
      <c r="U52" s="756" t="s">
        <v>364</v>
      </c>
      <c r="V52" s="756" t="s">
        <v>365</v>
      </c>
      <c r="W52" s="756" t="s">
        <v>366</v>
      </c>
      <c r="X52" s="767" t="s">
        <v>194</v>
      </c>
      <c r="Y52" s="759">
        <v>1</v>
      </c>
      <c r="Z52" s="757">
        <v>0</v>
      </c>
      <c r="AA52" s="669" t="s">
        <v>194</v>
      </c>
    </row>
    <row r="53" spans="1:27" s="661" customFormat="1" ht="93" customHeight="1">
      <c r="A53" s="775" t="s">
        <v>367</v>
      </c>
      <c r="B53" s="775" t="s">
        <v>350</v>
      </c>
      <c r="C53" s="780">
        <v>44740</v>
      </c>
      <c r="D53" s="775" t="s">
        <v>292</v>
      </c>
      <c r="E53" s="775" t="s">
        <v>351</v>
      </c>
      <c r="F53" s="765" t="s">
        <v>368</v>
      </c>
      <c r="G53" s="796">
        <v>200000000</v>
      </c>
      <c r="H53" s="757" t="s">
        <v>353</v>
      </c>
      <c r="I53" s="775" t="s">
        <v>194</v>
      </c>
      <c r="J53" s="658" t="str">
        <f>VLOOKUP($I53,Prices!A:B,2,0)</f>
        <v>.</v>
      </c>
      <c r="K53" s="790" t="s">
        <v>194</v>
      </c>
      <c r="L53" s="788" t="s">
        <v>194</v>
      </c>
      <c r="M53" s="788" t="s">
        <v>194</v>
      </c>
      <c r="N53" s="708" t="s">
        <v>194</v>
      </c>
      <c r="O53" s="772" t="s">
        <v>194</v>
      </c>
      <c r="P53" s="793" t="s">
        <v>194</v>
      </c>
      <c r="Q53" s="772">
        <f>G53</f>
        <v>200000000</v>
      </c>
      <c r="R53" s="772">
        <f>Q53/VLOOKUP(H53,'Currency Conversion'!B:C,2,0)</f>
        <v>147765053.56483191</v>
      </c>
      <c r="S53" s="749" t="s">
        <v>194</v>
      </c>
      <c r="T53" s="749" t="s">
        <v>240</v>
      </c>
      <c r="U53" s="756" t="s">
        <v>369</v>
      </c>
      <c r="V53" s="756" t="s">
        <v>370</v>
      </c>
      <c r="W53" s="756" t="s">
        <v>194</v>
      </c>
      <c r="X53" s="767" t="s">
        <v>194</v>
      </c>
      <c r="Y53" s="759">
        <v>1</v>
      </c>
      <c r="Z53" s="757">
        <v>1</v>
      </c>
      <c r="AA53" s="669" t="s">
        <v>194</v>
      </c>
    </row>
    <row r="54" spans="1:27" s="661" customFormat="1" ht="66.75" customHeight="1">
      <c r="A54" s="767" t="s">
        <v>371</v>
      </c>
      <c r="B54" s="767" t="s">
        <v>350</v>
      </c>
      <c r="C54" s="768">
        <v>44587</v>
      </c>
      <c r="D54" s="767" t="s">
        <v>190</v>
      </c>
      <c r="E54" s="767" t="s">
        <v>191</v>
      </c>
      <c r="F54" s="662" t="s">
        <v>372</v>
      </c>
      <c r="G54" s="770">
        <v>50000000</v>
      </c>
      <c r="H54" s="761" t="s">
        <v>353</v>
      </c>
      <c r="I54" s="767" t="s">
        <v>194</v>
      </c>
      <c r="J54" s="658" t="str">
        <f>VLOOKUP($I54,Prices!A:B,2,0)</f>
        <v>.</v>
      </c>
      <c r="K54" s="790" t="s">
        <v>194</v>
      </c>
      <c r="L54" s="651" t="s">
        <v>194</v>
      </c>
      <c r="M54" s="788" t="s">
        <v>194</v>
      </c>
      <c r="N54" s="647" t="str">
        <f>VLOOKUP($I54,Prices!A:D,4,0)</f>
        <v>.</v>
      </c>
      <c r="O54" s="772" t="s">
        <v>194</v>
      </c>
      <c r="P54" s="793" t="s">
        <v>194</v>
      </c>
      <c r="Q54" s="769">
        <f t="shared" si="3"/>
        <v>50000000</v>
      </c>
      <c r="R54" s="769">
        <f>Q54/VLOOKUP(H54,'Currency Conversion'!B:C,2,0)</f>
        <v>36941263.391207978</v>
      </c>
      <c r="S54" s="749" t="s">
        <v>194</v>
      </c>
      <c r="T54" s="759" t="s">
        <v>195</v>
      </c>
      <c r="U54" s="756" t="s">
        <v>373</v>
      </c>
      <c r="V54" s="787" t="s">
        <v>194</v>
      </c>
      <c r="W54" s="787" t="s">
        <v>194</v>
      </c>
      <c r="X54" s="771" t="s">
        <v>194</v>
      </c>
      <c r="Y54" s="759">
        <v>0</v>
      </c>
      <c r="Z54" s="761">
        <v>0</v>
      </c>
      <c r="AA54" s="802" t="s">
        <v>194</v>
      </c>
    </row>
    <row r="55" spans="1:27" s="661" customFormat="1" ht="101.25" customHeight="1">
      <c r="A55" s="767" t="s">
        <v>374</v>
      </c>
      <c r="B55" s="767" t="s">
        <v>350</v>
      </c>
      <c r="C55" s="768">
        <v>44621</v>
      </c>
      <c r="D55" s="767" t="s">
        <v>190</v>
      </c>
      <c r="E55" s="767" t="s">
        <v>375</v>
      </c>
      <c r="F55" s="787" t="s">
        <v>376</v>
      </c>
      <c r="G55" s="770">
        <v>50000000</v>
      </c>
      <c r="H55" s="761" t="s">
        <v>353</v>
      </c>
      <c r="I55" s="767" t="s">
        <v>194</v>
      </c>
      <c r="J55" s="658" t="str">
        <f>VLOOKUP($I55,Prices!A:B,2,0)</f>
        <v>.</v>
      </c>
      <c r="K55" s="790" t="s">
        <v>194</v>
      </c>
      <c r="L55" s="651" t="s">
        <v>194</v>
      </c>
      <c r="M55" s="788" t="s">
        <v>194</v>
      </c>
      <c r="N55" s="708" t="str">
        <f>VLOOKUP($I55,Prices!A:D,4,0)</f>
        <v>.</v>
      </c>
      <c r="O55" s="772" t="s">
        <v>194</v>
      </c>
      <c r="P55" s="793" t="s">
        <v>194</v>
      </c>
      <c r="Q55" s="769">
        <f t="shared" si="3"/>
        <v>50000000</v>
      </c>
      <c r="R55" s="769">
        <f>Q55/VLOOKUP(H55,'Currency Conversion'!B:C,2,0)</f>
        <v>36941263.391207978</v>
      </c>
      <c r="S55" s="749" t="s">
        <v>194</v>
      </c>
      <c r="T55" s="761" t="s">
        <v>195</v>
      </c>
      <c r="U55" s="756" t="s">
        <v>377</v>
      </c>
      <c r="V55" s="756" t="s">
        <v>378</v>
      </c>
      <c r="W55" s="787" t="s">
        <v>194</v>
      </c>
      <c r="X55" s="771" t="s">
        <v>194</v>
      </c>
      <c r="Y55" s="759">
        <v>0</v>
      </c>
      <c r="Z55" s="761">
        <v>0</v>
      </c>
      <c r="AA55" s="802" t="s">
        <v>194</v>
      </c>
    </row>
    <row r="56" spans="1:27" s="661" customFormat="1" ht="82.5" customHeight="1">
      <c r="A56" s="767" t="s">
        <v>379</v>
      </c>
      <c r="B56" s="767" t="s">
        <v>350</v>
      </c>
      <c r="C56" s="768">
        <v>44660</v>
      </c>
      <c r="D56" s="767" t="s">
        <v>190</v>
      </c>
      <c r="E56" s="767" t="s">
        <v>191</v>
      </c>
      <c r="F56" s="787" t="s">
        <v>380</v>
      </c>
      <c r="G56" s="770">
        <v>100000000</v>
      </c>
      <c r="H56" s="761" t="s">
        <v>353</v>
      </c>
      <c r="I56" s="767" t="s">
        <v>194</v>
      </c>
      <c r="J56" s="658" t="str">
        <f>VLOOKUP($I56,Prices!A:B,2,0)</f>
        <v>.</v>
      </c>
      <c r="K56" s="790" t="s">
        <v>194</v>
      </c>
      <c r="L56" s="651" t="s">
        <v>194</v>
      </c>
      <c r="M56" s="651" t="s">
        <v>194</v>
      </c>
      <c r="N56" s="647" t="str">
        <f>VLOOKUP($I56,Prices!A:D,4,0)</f>
        <v>.</v>
      </c>
      <c r="O56" s="772" t="s">
        <v>194</v>
      </c>
      <c r="P56" s="793" t="s">
        <v>194</v>
      </c>
      <c r="Q56" s="769">
        <f t="shared" si="3"/>
        <v>100000000</v>
      </c>
      <c r="R56" s="769">
        <f>Q56/VLOOKUP(H56,'Currency Conversion'!B:C,2,0)</f>
        <v>73882526.782415956</v>
      </c>
      <c r="S56" s="763" t="s">
        <v>194</v>
      </c>
      <c r="T56" s="761" t="s">
        <v>195</v>
      </c>
      <c r="U56" s="756" t="s">
        <v>309</v>
      </c>
      <c r="V56" s="787" t="s">
        <v>194</v>
      </c>
      <c r="W56" s="787" t="s">
        <v>194</v>
      </c>
      <c r="X56" s="771" t="s">
        <v>194</v>
      </c>
      <c r="Y56" s="759">
        <v>0</v>
      </c>
      <c r="Z56" s="761">
        <v>0</v>
      </c>
      <c r="AA56" s="802" t="s">
        <v>194</v>
      </c>
    </row>
    <row r="57" spans="1:27" s="666" customFormat="1" ht="69.75" customHeight="1">
      <c r="A57" s="766" t="s">
        <v>381</v>
      </c>
      <c r="B57" s="766" t="s">
        <v>350</v>
      </c>
      <c r="C57" s="776">
        <v>44700</v>
      </c>
      <c r="D57" s="766" t="s">
        <v>190</v>
      </c>
      <c r="E57" s="766" t="s">
        <v>191</v>
      </c>
      <c r="F57" s="765" t="s">
        <v>382</v>
      </c>
      <c r="G57" s="807">
        <v>2000000</v>
      </c>
      <c r="H57" s="759" t="s">
        <v>353</v>
      </c>
      <c r="I57" s="766" t="s">
        <v>194</v>
      </c>
      <c r="J57" s="658" t="str">
        <f>VLOOKUP($I57,Prices!A:B,2,0)</f>
        <v>.</v>
      </c>
      <c r="K57" s="790" t="s">
        <v>194</v>
      </c>
      <c r="L57" s="665" t="s">
        <v>194</v>
      </c>
      <c r="M57" s="665" t="s">
        <v>194</v>
      </c>
      <c r="N57" s="708" t="str">
        <f>VLOOKUP($I57,Prices!A:D,4,0)</f>
        <v>.</v>
      </c>
      <c r="O57" s="772" t="s">
        <v>194</v>
      </c>
      <c r="P57" s="793" t="s">
        <v>194</v>
      </c>
      <c r="Q57" s="778">
        <f t="shared" si="3"/>
        <v>2000000</v>
      </c>
      <c r="R57" s="778">
        <f>Q57/VLOOKUP(H57,'Currency Conversion'!B:C,2,0)</f>
        <v>1477650.5356483192</v>
      </c>
      <c r="S57" s="790" t="s">
        <v>194</v>
      </c>
      <c r="T57" s="759" t="s">
        <v>240</v>
      </c>
      <c r="U57" s="756" t="s">
        <v>383</v>
      </c>
      <c r="V57" s="756" t="s">
        <v>384</v>
      </c>
      <c r="W57" s="765" t="s">
        <v>194</v>
      </c>
      <c r="X57" s="811" t="s">
        <v>194</v>
      </c>
      <c r="Y57" s="759">
        <v>0</v>
      </c>
      <c r="Z57" s="759">
        <v>0</v>
      </c>
      <c r="AA57" s="670" t="s">
        <v>194</v>
      </c>
    </row>
    <row r="58" spans="1:27" s="666" customFormat="1" ht="69.75" customHeight="1">
      <c r="A58" s="766" t="s">
        <v>385</v>
      </c>
      <c r="B58" s="766" t="s">
        <v>350</v>
      </c>
      <c r="C58" s="776">
        <v>44740</v>
      </c>
      <c r="D58" s="766" t="s">
        <v>190</v>
      </c>
      <c r="E58" s="766" t="s">
        <v>191</v>
      </c>
      <c r="F58" s="765" t="s">
        <v>386</v>
      </c>
      <c r="G58" s="807">
        <v>75000000</v>
      </c>
      <c r="H58" s="759" t="s">
        <v>353</v>
      </c>
      <c r="I58" s="766" t="s">
        <v>194</v>
      </c>
      <c r="J58" s="658" t="str">
        <f>VLOOKUP($I58,Prices!A:B,2,0)</f>
        <v>.</v>
      </c>
      <c r="K58" s="790" t="s">
        <v>194</v>
      </c>
      <c r="L58" s="665" t="s">
        <v>194</v>
      </c>
      <c r="M58" s="665" t="s">
        <v>194</v>
      </c>
      <c r="N58" s="708" t="s">
        <v>194</v>
      </c>
      <c r="O58" s="772" t="s">
        <v>194</v>
      </c>
      <c r="P58" s="793" t="s">
        <v>194</v>
      </c>
      <c r="Q58" s="778">
        <f>G58</f>
        <v>75000000</v>
      </c>
      <c r="R58" s="778">
        <f>Q58/VLOOKUP(H58,'Currency Conversion'!B:C,2,0)</f>
        <v>55411895.086811975</v>
      </c>
      <c r="S58" s="790" t="s">
        <v>194</v>
      </c>
      <c r="T58" s="759" t="s">
        <v>240</v>
      </c>
      <c r="U58" s="756" t="s">
        <v>369</v>
      </c>
      <c r="V58" s="756" t="s">
        <v>370</v>
      </c>
      <c r="W58" s="765" t="s">
        <v>194</v>
      </c>
      <c r="X58" s="811" t="s">
        <v>194</v>
      </c>
      <c r="Y58" s="759">
        <v>0</v>
      </c>
      <c r="Z58" s="759">
        <v>1</v>
      </c>
      <c r="AA58" s="670" t="s">
        <v>194</v>
      </c>
    </row>
    <row r="59" spans="1:27" s="666" customFormat="1" ht="69.75" customHeight="1">
      <c r="A59" s="766" t="s">
        <v>387</v>
      </c>
      <c r="B59" s="766" t="s">
        <v>350</v>
      </c>
      <c r="C59" s="776">
        <v>44740</v>
      </c>
      <c r="D59" s="766" t="s">
        <v>190</v>
      </c>
      <c r="E59" s="766" t="s">
        <v>191</v>
      </c>
      <c r="F59" s="765" t="s">
        <v>388</v>
      </c>
      <c r="G59" s="807">
        <v>52000000</v>
      </c>
      <c r="H59" s="759" t="s">
        <v>353</v>
      </c>
      <c r="I59" s="766" t="s">
        <v>194</v>
      </c>
      <c r="J59" s="658" t="str">
        <f>VLOOKUP($I59,Prices!A:B,2,0)</f>
        <v>.</v>
      </c>
      <c r="K59" s="790" t="s">
        <v>194</v>
      </c>
      <c r="L59" s="665" t="s">
        <v>194</v>
      </c>
      <c r="M59" s="665" t="s">
        <v>194</v>
      </c>
      <c r="N59" s="708" t="s">
        <v>194</v>
      </c>
      <c r="O59" s="772" t="s">
        <v>194</v>
      </c>
      <c r="P59" s="793" t="s">
        <v>194</v>
      </c>
      <c r="Q59" s="778">
        <f>G59</f>
        <v>52000000</v>
      </c>
      <c r="R59" s="778">
        <f>Q59/VLOOKUP(H59,'Currency Conversion'!B:C,2,0)</f>
        <v>38418913.926856302</v>
      </c>
      <c r="S59" s="790" t="s">
        <v>194</v>
      </c>
      <c r="T59" s="759" t="s">
        <v>240</v>
      </c>
      <c r="U59" s="756" t="s">
        <v>369</v>
      </c>
      <c r="V59" s="756" t="s">
        <v>194</v>
      </c>
      <c r="W59" s="765" t="s">
        <v>194</v>
      </c>
      <c r="X59" s="811" t="s">
        <v>194</v>
      </c>
      <c r="Y59" s="759">
        <v>0</v>
      </c>
      <c r="Z59" s="759">
        <v>1</v>
      </c>
      <c r="AA59" s="670" t="s">
        <v>194</v>
      </c>
    </row>
    <row r="60" spans="1:27" s="666" customFormat="1" ht="69.75" customHeight="1">
      <c r="A60" s="766" t="s">
        <v>389</v>
      </c>
      <c r="B60" s="766" t="s">
        <v>350</v>
      </c>
      <c r="C60" s="776">
        <v>44740</v>
      </c>
      <c r="D60" s="766" t="s">
        <v>190</v>
      </c>
      <c r="E60" s="766" t="s">
        <v>191</v>
      </c>
      <c r="F60" s="765" t="s">
        <v>390</v>
      </c>
      <c r="G60" s="807">
        <v>9700000</v>
      </c>
      <c r="H60" s="759" t="s">
        <v>353</v>
      </c>
      <c r="I60" s="766" t="s">
        <v>194</v>
      </c>
      <c r="J60" s="658" t="str">
        <f>VLOOKUP($I60,Prices!A:B,2,0)</f>
        <v>.</v>
      </c>
      <c r="K60" s="790" t="s">
        <v>194</v>
      </c>
      <c r="L60" s="665" t="s">
        <v>194</v>
      </c>
      <c r="M60" s="665" t="s">
        <v>194</v>
      </c>
      <c r="N60" s="708" t="s">
        <v>194</v>
      </c>
      <c r="O60" s="772" t="s">
        <v>194</v>
      </c>
      <c r="P60" s="793" t="s">
        <v>194</v>
      </c>
      <c r="Q60" s="778">
        <f>G60</f>
        <v>9700000</v>
      </c>
      <c r="R60" s="778">
        <f>Q60/VLOOKUP(H60,'Currency Conversion'!B:C,2,0)</f>
        <v>7166605.0978943482</v>
      </c>
      <c r="S60" s="790" t="s">
        <v>194</v>
      </c>
      <c r="T60" s="759" t="s">
        <v>240</v>
      </c>
      <c r="U60" s="756" t="s">
        <v>369</v>
      </c>
      <c r="V60" s="756" t="s">
        <v>194</v>
      </c>
      <c r="W60" s="765" t="s">
        <v>194</v>
      </c>
      <c r="X60" s="811" t="s">
        <v>194</v>
      </c>
      <c r="Y60" s="759">
        <v>0</v>
      </c>
      <c r="Z60" s="759">
        <v>1</v>
      </c>
      <c r="AA60" s="670" t="s">
        <v>194</v>
      </c>
    </row>
    <row r="61" spans="1:27" s="661" customFormat="1" ht="73.5" customHeight="1">
      <c r="A61" s="767" t="s">
        <v>391</v>
      </c>
      <c r="B61" s="767" t="s">
        <v>350</v>
      </c>
      <c r="C61" s="768">
        <v>44587</v>
      </c>
      <c r="D61" s="767" t="s">
        <v>212</v>
      </c>
      <c r="E61" s="767" t="s">
        <v>213</v>
      </c>
      <c r="F61" s="662" t="s">
        <v>392</v>
      </c>
      <c r="G61" s="770">
        <v>340000000</v>
      </c>
      <c r="H61" s="761" t="s">
        <v>353</v>
      </c>
      <c r="I61" s="767" t="s">
        <v>194</v>
      </c>
      <c r="J61" s="658" t="str">
        <f>VLOOKUP($I61,Prices!A:B,2,0)</f>
        <v>.</v>
      </c>
      <c r="K61" s="790" t="s">
        <v>194</v>
      </c>
      <c r="L61" s="651" t="s">
        <v>194</v>
      </c>
      <c r="M61" s="651" t="s">
        <v>194</v>
      </c>
      <c r="N61" s="647" t="str">
        <f>VLOOKUP($I61,Prices!A:D,4,0)</f>
        <v>.</v>
      </c>
      <c r="O61" s="772" t="s">
        <v>194</v>
      </c>
      <c r="P61" s="793" t="s">
        <v>194</v>
      </c>
      <c r="Q61" s="769">
        <f>G61</f>
        <v>340000000</v>
      </c>
      <c r="R61" s="769">
        <f>Q61/VLOOKUP(H61,'Currency Conversion'!B:C,2,0)</f>
        <v>251200591.06021428</v>
      </c>
      <c r="S61" s="763">
        <f>R61</f>
        <v>251200591.06021428</v>
      </c>
      <c r="T61" s="761" t="s">
        <v>195</v>
      </c>
      <c r="U61" s="756" t="s">
        <v>373</v>
      </c>
      <c r="V61" s="756" t="s">
        <v>393</v>
      </c>
      <c r="W61" s="787" t="s">
        <v>194</v>
      </c>
      <c r="X61" s="771" t="s">
        <v>194</v>
      </c>
      <c r="Y61" s="759">
        <v>0</v>
      </c>
      <c r="Z61" s="761">
        <v>0</v>
      </c>
      <c r="AA61" s="762" t="s">
        <v>394</v>
      </c>
    </row>
    <row r="62" spans="1:27" s="661" customFormat="1" ht="74.25" customHeight="1">
      <c r="A62" s="767" t="s">
        <v>395</v>
      </c>
      <c r="B62" s="767" t="s">
        <v>350</v>
      </c>
      <c r="C62" s="768">
        <v>44606</v>
      </c>
      <c r="D62" s="767" t="s">
        <v>212</v>
      </c>
      <c r="E62" s="767" t="s">
        <v>213</v>
      </c>
      <c r="F62" s="662" t="s">
        <v>396</v>
      </c>
      <c r="G62" s="770">
        <v>7000000</v>
      </c>
      <c r="H62" s="761" t="s">
        <v>353</v>
      </c>
      <c r="I62" s="767" t="s">
        <v>194</v>
      </c>
      <c r="J62" s="658" t="str">
        <f>VLOOKUP($I62,Prices!A:B,2,0)</f>
        <v>.</v>
      </c>
      <c r="K62" s="790" t="s">
        <v>194</v>
      </c>
      <c r="L62" s="651" t="s">
        <v>194</v>
      </c>
      <c r="M62" s="651" t="s">
        <v>194</v>
      </c>
      <c r="N62" s="708" t="str">
        <f>VLOOKUP($I62,Prices!A:D,4,0)</f>
        <v>.</v>
      </c>
      <c r="O62" s="772" t="s">
        <v>194</v>
      </c>
      <c r="P62" s="793" t="s">
        <v>194</v>
      </c>
      <c r="Q62" s="769">
        <f>G62</f>
        <v>7000000</v>
      </c>
      <c r="R62" s="769">
        <f>Q62/VLOOKUP(H62,'Currency Conversion'!B:C,2,0)</f>
        <v>5171776.8747691177</v>
      </c>
      <c r="S62" s="763">
        <f>R62</f>
        <v>5171776.8747691177</v>
      </c>
      <c r="T62" s="759" t="s">
        <v>195</v>
      </c>
      <c r="U62" s="756" t="s">
        <v>397</v>
      </c>
      <c r="V62" s="783" t="s">
        <v>194</v>
      </c>
      <c r="W62" s="803" t="s">
        <v>194</v>
      </c>
      <c r="X62" s="767" t="s">
        <v>194</v>
      </c>
      <c r="Y62" s="759">
        <v>0</v>
      </c>
      <c r="Z62" s="761">
        <v>0</v>
      </c>
      <c r="AA62" s="762" t="s">
        <v>398</v>
      </c>
    </row>
    <row r="63" spans="1:27" s="141" customFormat="1" ht="18.75" customHeight="1">
      <c r="A63" s="879" t="s">
        <v>399</v>
      </c>
      <c r="B63" s="879" t="s">
        <v>350</v>
      </c>
      <c r="C63" s="906">
        <v>44619</v>
      </c>
      <c r="D63" s="879" t="s">
        <v>212</v>
      </c>
      <c r="E63" s="879" t="s">
        <v>213</v>
      </c>
      <c r="F63" s="890" t="s">
        <v>400</v>
      </c>
      <c r="G63" s="916" t="s">
        <v>201</v>
      </c>
      <c r="H63" s="888" t="s">
        <v>260</v>
      </c>
      <c r="I63" s="767" t="s">
        <v>401</v>
      </c>
      <c r="J63" s="658">
        <f>VLOOKUP($I63,Prices!A:B,2,0)</f>
        <v>1</v>
      </c>
      <c r="K63" s="790">
        <f>VLOOKUP(I63,Prices!A:C,3,0)</f>
        <v>0</v>
      </c>
      <c r="L63" s="651">
        <v>1600</v>
      </c>
      <c r="M63" s="651">
        <v>1600</v>
      </c>
      <c r="N63" s="647">
        <f>VLOOKUP($I63,Prices!A:D,4,0)</f>
        <v>219</v>
      </c>
      <c r="O63" s="772">
        <f t="shared" si="1"/>
        <v>350400</v>
      </c>
      <c r="P63" s="793">
        <f t="shared" si="2"/>
        <v>350400</v>
      </c>
      <c r="Q63" s="877">
        <f>SUM(O63:O66)</f>
        <v>11470400</v>
      </c>
      <c r="R63" s="877">
        <f>Q63/VLOOKUP(H63,'Currency Conversion'!B:C,2,0)</f>
        <v>10862121.212121211</v>
      </c>
      <c r="S63" s="891">
        <f>R63</f>
        <v>10862121.212121211</v>
      </c>
      <c r="T63" s="888" t="s">
        <v>195</v>
      </c>
      <c r="U63" s="854" t="s">
        <v>402</v>
      </c>
      <c r="V63" s="884" t="s">
        <v>194</v>
      </c>
      <c r="W63" s="884" t="s">
        <v>194</v>
      </c>
      <c r="X63" s="896" t="s">
        <v>194</v>
      </c>
      <c r="Y63" s="878">
        <v>0</v>
      </c>
      <c r="Z63" s="888">
        <v>0</v>
      </c>
      <c r="AA63" s="762" t="s">
        <v>403</v>
      </c>
    </row>
    <row r="64" spans="1:27" s="141" customFormat="1" ht="18" customHeight="1">
      <c r="A64" s="879"/>
      <c r="B64" s="879"/>
      <c r="C64" s="906"/>
      <c r="D64" s="879"/>
      <c r="E64" s="879"/>
      <c r="F64" s="890"/>
      <c r="G64" s="916"/>
      <c r="H64" s="888"/>
      <c r="I64" s="767" t="s">
        <v>404</v>
      </c>
      <c r="J64" s="658">
        <f>VLOOKUP($I64,Prices!A:B,2,0)</f>
        <v>1</v>
      </c>
      <c r="K64" s="790">
        <f>VLOOKUP(I64,Prices!A:C,3,0)</f>
        <v>0</v>
      </c>
      <c r="L64" s="651">
        <v>390000</v>
      </c>
      <c r="M64" s="651">
        <v>390000</v>
      </c>
      <c r="N64" s="708">
        <f>VLOOKUP($I64,Prices!A:D,4,0)</f>
        <v>8</v>
      </c>
      <c r="O64" s="772">
        <f t="shared" si="1"/>
        <v>3120000</v>
      </c>
      <c r="P64" s="793">
        <f t="shared" si="2"/>
        <v>3120000</v>
      </c>
      <c r="Q64" s="877"/>
      <c r="R64" s="877"/>
      <c r="S64" s="891"/>
      <c r="T64" s="888"/>
      <c r="U64" s="854"/>
      <c r="V64" s="884"/>
      <c r="W64" s="884"/>
      <c r="X64" s="896"/>
      <c r="Y64" s="878"/>
      <c r="Z64" s="888"/>
      <c r="AA64" s="802" t="s">
        <v>194</v>
      </c>
    </row>
    <row r="65" spans="1:42" s="141" customFormat="1" ht="22.5" customHeight="1">
      <c r="A65" s="879"/>
      <c r="B65" s="879"/>
      <c r="C65" s="906"/>
      <c r="D65" s="879"/>
      <c r="E65" s="879"/>
      <c r="F65" s="890"/>
      <c r="G65" s="916"/>
      <c r="H65" s="888"/>
      <c r="I65" s="671" t="s">
        <v>405</v>
      </c>
      <c r="J65" s="658">
        <f>VLOOKUP($I65,Prices!A:B,2,0)</f>
        <v>2</v>
      </c>
      <c r="K65" s="790">
        <f>VLOOKUP(I65,Prices!A:C,3,0)</f>
        <v>0</v>
      </c>
      <c r="L65" s="651">
        <v>100</v>
      </c>
      <c r="M65" s="651">
        <v>100</v>
      </c>
      <c r="N65" s="647">
        <f>VLOOKUP($I65,Prices!A:D,4,0)</f>
        <v>20000</v>
      </c>
      <c r="O65" s="772">
        <f t="shared" si="1"/>
        <v>2000000</v>
      </c>
      <c r="P65" s="793">
        <f t="shared" si="2"/>
        <v>2000000</v>
      </c>
      <c r="Q65" s="877"/>
      <c r="R65" s="877"/>
      <c r="S65" s="891"/>
      <c r="T65" s="888"/>
      <c r="U65" s="854"/>
      <c r="V65" s="884"/>
      <c r="W65" s="884"/>
      <c r="X65" s="896"/>
      <c r="Y65" s="878"/>
      <c r="Z65" s="888"/>
      <c r="AA65" s="762" t="s">
        <v>403</v>
      </c>
      <c r="AB65" s="775"/>
      <c r="AC65" s="775"/>
      <c r="AD65" s="775"/>
      <c r="AE65" s="775"/>
      <c r="AF65" s="775"/>
      <c r="AG65" s="775"/>
      <c r="AH65" s="775"/>
      <c r="AI65" s="775"/>
      <c r="AJ65" s="775"/>
      <c r="AK65" s="775"/>
      <c r="AL65" s="775"/>
      <c r="AM65" s="775"/>
      <c r="AN65" s="775"/>
      <c r="AO65" s="775"/>
      <c r="AP65" s="775"/>
    </row>
    <row r="66" spans="1:42" s="141" customFormat="1" ht="23.1" customHeight="1">
      <c r="A66" s="879"/>
      <c r="B66" s="879"/>
      <c r="C66" s="906"/>
      <c r="D66" s="879"/>
      <c r="E66" s="879"/>
      <c r="F66" s="890"/>
      <c r="G66" s="916"/>
      <c r="H66" s="888"/>
      <c r="I66" s="767" t="s">
        <v>406</v>
      </c>
      <c r="J66" s="658">
        <f>VLOOKUP($I66,Prices!A:B,2,0)</f>
        <v>3.5</v>
      </c>
      <c r="K66" s="790">
        <f>VLOOKUP(I66,Prices!A:C,3,0)</f>
        <v>0</v>
      </c>
      <c r="L66" s="651">
        <v>2000</v>
      </c>
      <c r="M66" s="651">
        <v>2000</v>
      </c>
      <c r="N66" s="708">
        <f>VLOOKUP($I66,Prices!A:D,4,0)</f>
        <v>3000</v>
      </c>
      <c r="O66" s="772">
        <f t="shared" si="1"/>
        <v>6000000</v>
      </c>
      <c r="P66" s="793">
        <f t="shared" si="2"/>
        <v>6000000</v>
      </c>
      <c r="Q66" s="877"/>
      <c r="R66" s="877"/>
      <c r="S66" s="891"/>
      <c r="T66" s="888"/>
      <c r="U66" s="854"/>
      <c r="V66" s="884"/>
      <c r="W66" s="884"/>
      <c r="X66" s="896"/>
      <c r="Y66" s="878"/>
      <c r="Z66" s="888"/>
      <c r="AA66" s="762" t="s">
        <v>403</v>
      </c>
      <c r="AB66" s="775"/>
      <c r="AC66" s="775"/>
      <c r="AD66" s="775"/>
      <c r="AE66" s="775"/>
      <c r="AF66" s="775"/>
      <c r="AG66" s="775"/>
      <c r="AH66" s="775"/>
      <c r="AI66" s="775"/>
      <c r="AJ66" s="775"/>
      <c r="AK66" s="775"/>
      <c r="AL66" s="775"/>
      <c r="AM66" s="775"/>
      <c r="AN66" s="775"/>
      <c r="AO66" s="775"/>
      <c r="AP66" s="775"/>
    </row>
    <row r="67" spans="1:42" s="661" customFormat="1" ht="43.5" customHeight="1">
      <c r="A67" s="879" t="s">
        <v>407</v>
      </c>
      <c r="B67" s="879" t="s">
        <v>350</v>
      </c>
      <c r="C67" s="906">
        <v>44619</v>
      </c>
      <c r="D67" s="879" t="s">
        <v>212</v>
      </c>
      <c r="E67" s="879" t="s">
        <v>221</v>
      </c>
      <c r="F67" s="884" t="s">
        <v>408</v>
      </c>
      <c r="G67" s="916">
        <v>25000000</v>
      </c>
      <c r="H67" s="888" t="s">
        <v>353</v>
      </c>
      <c r="I67" s="767" t="s">
        <v>344</v>
      </c>
      <c r="J67" s="658">
        <f>VLOOKUP($I67,Prices!A:B,2,0)</f>
        <v>1</v>
      </c>
      <c r="K67" s="790">
        <v>0</v>
      </c>
      <c r="L67" s="651" t="s">
        <v>224</v>
      </c>
      <c r="M67" s="651" t="s">
        <v>224</v>
      </c>
      <c r="N67" s="647">
        <f>VLOOKUP($I67,Prices!A:D,4,0)</f>
        <v>1400</v>
      </c>
      <c r="O67" s="772" t="s">
        <v>194</v>
      </c>
      <c r="P67" s="793" t="s">
        <v>194</v>
      </c>
      <c r="Q67" s="877">
        <f>G67</f>
        <v>25000000</v>
      </c>
      <c r="R67" s="877">
        <f>Q67/VLOOKUP(H67,'Currency Conversion'!B:C,2,0)</f>
        <v>18470631.695603989</v>
      </c>
      <c r="S67" s="891">
        <f>R67</f>
        <v>18470631.695603989</v>
      </c>
      <c r="T67" s="888" t="s">
        <v>195</v>
      </c>
      <c r="U67" s="854" t="s">
        <v>402</v>
      </c>
      <c r="V67" s="854" t="s">
        <v>409</v>
      </c>
      <c r="W67" s="787" t="s">
        <v>194</v>
      </c>
      <c r="X67" s="771" t="s">
        <v>194</v>
      </c>
      <c r="Y67" s="759">
        <v>0</v>
      </c>
      <c r="Z67" s="761">
        <v>0</v>
      </c>
      <c r="AA67" s="922" t="s">
        <v>410</v>
      </c>
    </row>
    <row r="68" spans="1:42" s="661" customFormat="1" ht="43.5" customHeight="1">
      <c r="A68" s="879"/>
      <c r="B68" s="879"/>
      <c r="C68" s="906"/>
      <c r="D68" s="879"/>
      <c r="E68" s="879"/>
      <c r="F68" s="884"/>
      <c r="G68" s="916"/>
      <c r="H68" s="888"/>
      <c r="I68" s="634" t="s">
        <v>348</v>
      </c>
      <c r="J68" s="658">
        <f>VLOOKUP($I68,Prices!A:B,2,0)</f>
        <v>1</v>
      </c>
      <c r="K68" s="790">
        <v>0</v>
      </c>
      <c r="L68" s="651" t="s">
        <v>224</v>
      </c>
      <c r="M68" s="651" t="s">
        <v>224</v>
      </c>
      <c r="N68" s="647">
        <f>VLOOKUP($I68,Prices!A:D,4,0)</f>
        <v>500</v>
      </c>
      <c r="O68" s="772" t="s">
        <v>194</v>
      </c>
      <c r="P68" s="793" t="s">
        <v>194</v>
      </c>
      <c r="Q68" s="877"/>
      <c r="R68" s="877"/>
      <c r="S68" s="891"/>
      <c r="T68" s="888"/>
      <c r="U68" s="854"/>
      <c r="V68" s="854"/>
      <c r="W68" s="787"/>
      <c r="X68" s="771"/>
      <c r="Y68" s="759">
        <v>0</v>
      </c>
      <c r="Z68" s="761">
        <v>0</v>
      </c>
      <c r="AA68" s="922"/>
    </row>
    <row r="69" spans="1:42" s="661" customFormat="1" ht="43.5" customHeight="1">
      <c r="A69" s="879"/>
      <c r="B69" s="879"/>
      <c r="C69" s="906"/>
      <c r="D69" s="879"/>
      <c r="E69" s="879"/>
      <c r="F69" s="884"/>
      <c r="G69" s="916"/>
      <c r="H69" s="888"/>
      <c r="I69" s="630" t="s">
        <v>411</v>
      </c>
      <c r="J69" s="658">
        <f>VLOOKUP($I69,Prices!A:B,2,0)</f>
        <v>1</v>
      </c>
      <c r="K69" s="790">
        <v>0</v>
      </c>
      <c r="L69" s="651" t="s">
        <v>224</v>
      </c>
      <c r="M69" s="651" t="s">
        <v>224</v>
      </c>
      <c r="N69" s="647">
        <f>VLOOKUP($I69,Prices!A:D,4,0)</f>
        <v>62.5</v>
      </c>
      <c r="O69" s="772" t="s">
        <v>194</v>
      </c>
      <c r="P69" s="793" t="s">
        <v>194</v>
      </c>
      <c r="Q69" s="877"/>
      <c r="R69" s="877"/>
      <c r="S69" s="891"/>
      <c r="T69" s="888"/>
      <c r="U69" s="854"/>
      <c r="V69" s="854"/>
      <c r="W69" s="787"/>
      <c r="X69" s="771"/>
      <c r="Y69" s="759">
        <v>0</v>
      </c>
      <c r="Z69" s="761">
        <v>0</v>
      </c>
      <c r="AA69" s="922"/>
    </row>
    <row r="70" spans="1:42" s="661" customFormat="1" ht="43.5" customHeight="1">
      <c r="A70" s="879"/>
      <c r="B70" s="879"/>
      <c r="C70" s="906"/>
      <c r="D70" s="879"/>
      <c r="E70" s="879"/>
      <c r="F70" s="884"/>
      <c r="G70" s="916"/>
      <c r="H70" s="888"/>
      <c r="I70" s="739" t="s">
        <v>412</v>
      </c>
      <c r="J70" s="658">
        <f>VLOOKUP($I70,Prices!A:B,2,0)</f>
        <v>1</v>
      </c>
      <c r="K70" s="790">
        <v>0</v>
      </c>
      <c r="L70" s="651" t="s">
        <v>224</v>
      </c>
      <c r="M70" s="651" t="s">
        <v>224</v>
      </c>
      <c r="N70" s="647">
        <f>VLOOKUP($I70,Prices!A:D,4,0)</f>
        <v>7600</v>
      </c>
      <c r="O70" s="772" t="s">
        <v>194</v>
      </c>
      <c r="P70" s="793" t="s">
        <v>194</v>
      </c>
      <c r="Q70" s="877"/>
      <c r="R70" s="877"/>
      <c r="S70" s="891"/>
      <c r="T70" s="888"/>
      <c r="U70" s="854"/>
      <c r="V70" s="854"/>
      <c r="W70" s="787"/>
      <c r="X70" s="771"/>
      <c r="Y70" s="759">
        <v>0</v>
      </c>
      <c r="Z70" s="761">
        <v>0</v>
      </c>
      <c r="AA70" s="922"/>
    </row>
    <row r="71" spans="1:42" s="141" customFormat="1" ht="30.95" customHeight="1">
      <c r="A71" s="879" t="s">
        <v>413</v>
      </c>
      <c r="B71" s="879" t="s">
        <v>350</v>
      </c>
      <c r="C71" s="906">
        <v>44623</v>
      </c>
      <c r="D71" s="879" t="s">
        <v>212</v>
      </c>
      <c r="E71" s="879" t="s">
        <v>213</v>
      </c>
      <c r="F71" s="882" t="s">
        <v>414</v>
      </c>
      <c r="G71" s="916" t="s">
        <v>201</v>
      </c>
      <c r="H71" s="888" t="s">
        <v>260</v>
      </c>
      <c r="I71" s="767" t="s">
        <v>323</v>
      </c>
      <c r="J71" s="658">
        <f>VLOOKUP($I71,Prices!A:B,2,0)</f>
        <v>3</v>
      </c>
      <c r="K71" s="790">
        <f>VLOOKUP(I71,Prices!A:C,3,0)</f>
        <v>0</v>
      </c>
      <c r="L71" s="651">
        <v>4500</v>
      </c>
      <c r="M71" s="651">
        <v>4500</v>
      </c>
      <c r="N71" s="707">
        <f>VLOOKUP($I71,Prices!A:D,4,0)</f>
        <v>2000</v>
      </c>
      <c r="O71" s="772">
        <f t="shared" ref="O71:O133" si="4">$L71*$N71</f>
        <v>9000000</v>
      </c>
      <c r="P71" s="793">
        <f t="shared" si="2"/>
        <v>9000000</v>
      </c>
      <c r="Q71" s="877">
        <f>SUM(O71:O72)</f>
        <v>9367500</v>
      </c>
      <c r="R71" s="877">
        <f>Q71/VLOOKUP(H71,'Currency Conversion'!B:C,2,0)</f>
        <v>8870738.6363636367</v>
      </c>
      <c r="S71" s="891">
        <f>R71</f>
        <v>8870738.6363636367</v>
      </c>
      <c r="T71" s="888" t="s">
        <v>195</v>
      </c>
      <c r="U71" s="854" t="s">
        <v>415</v>
      </c>
      <c r="V71" s="884" t="s">
        <v>194</v>
      </c>
      <c r="W71" s="884" t="s">
        <v>194</v>
      </c>
      <c r="X71" s="896" t="s">
        <v>194</v>
      </c>
      <c r="Y71" s="878">
        <v>0</v>
      </c>
      <c r="Z71" s="888">
        <v>0</v>
      </c>
      <c r="AA71" s="762" t="s">
        <v>403</v>
      </c>
      <c r="AB71" s="775"/>
      <c r="AC71" s="775"/>
      <c r="AD71" s="775"/>
      <c r="AE71" s="775"/>
      <c r="AF71" s="775"/>
      <c r="AG71" s="775"/>
      <c r="AH71" s="775"/>
      <c r="AI71" s="775"/>
      <c r="AJ71" s="775"/>
      <c r="AK71" s="775"/>
      <c r="AL71" s="775"/>
      <c r="AM71" s="775"/>
      <c r="AN71" s="775"/>
      <c r="AO71" s="775"/>
      <c r="AP71" s="775"/>
    </row>
    <row r="72" spans="1:42" s="141" customFormat="1" ht="34.5" customHeight="1">
      <c r="A72" s="879"/>
      <c r="B72" s="879"/>
      <c r="C72" s="906"/>
      <c r="D72" s="879"/>
      <c r="E72" s="879"/>
      <c r="F72" s="882"/>
      <c r="G72" s="916"/>
      <c r="H72" s="888"/>
      <c r="I72" s="767" t="s">
        <v>416</v>
      </c>
      <c r="J72" s="658">
        <f>VLOOKUP($I72,Prices!A:B,2,0)</f>
        <v>2</v>
      </c>
      <c r="K72" s="790">
        <f>VLOOKUP(I72,Prices!A:C,3,0)</f>
        <v>0</v>
      </c>
      <c r="L72" s="651">
        <v>7500</v>
      </c>
      <c r="M72" s="651">
        <v>7500</v>
      </c>
      <c r="N72" s="647">
        <f>VLOOKUP($I72,Prices!A:D,4,0)</f>
        <v>49</v>
      </c>
      <c r="O72" s="772">
        <f t="shared" si="4"/>
        <v>367500</v>
      </c>
      <c r="P72" s="793">
        <f t="shared" si="2"/>
        <v>367500</v>
      </c>
      <c r="Q72" s="877"/>
      <c r="R72" s="877"/>
      <c r="S72" s="891"/>
      <c r="T72" s="888"/>
      <c r="U72" s="854"/>
      <c r="V72" s="884"/>
      <c r="W72" s="884"/>
      <c r="X72" s="896"/>
      <c r="Y72" s="878"/>
      <c r="Z72" s="888"/>
      <c r="AA72" s="762" t="s">
        <v>403</v>
      </c>
      <c r="AB72" s="775"/>
      <c r="AC72" s="775"/>
      <c r="AD72" s="775"/>
      <c r="AE72" s="775"/>
      <c r="AF72" s="775"/>
      <c r="AG72" s="775"/>
      <c r="AH72" s="775"/>
      <c r="AI72" s="775"/>
      <c r="AJ72" s="775"/>
      <c r="AK72" s="775"/>
      <c r="AL72" s="775"/>
      <c r="AM72" s="775"/>
      <c r="AN72" s="775"/>
      <c r="AO72" s="775"/>
      <c r="AP72" s="775"/>
    </row>
    <row r="73" spans="1:42" s="661" customFormat="1" ht="96" customHeight="1">
      <c r="A73" s="767" t="s">
        <v>417</v>
      </c>
      <c r="B73" s="767" t="s">
        <v>350</v>
      </c>
      <c r="C73" s="768">
        <v>44623</v>
      </c>
      <c r="D73" s="767" t="s">
        <v>212</v>
      </c>
      <c r="E73" s="767" t="s">
        <v>221</v>
      </c>
      <c r="F73" s="773" t="s">
        <v>418</v>
      </c>
      <c r="G73" s="770">
        <v>1000000</v>
      </c>
      <c r="H73" s="761" t="s">
        <v>353</v>
      </c>
      <c r="I73" s="767" t="s">
        <v>194</v>
      </c>
      <c r="J73" s="658" t="str">
        <f>VLOOKUP($I73,Prices!A:B,2,0)</f>
        <v>.</v>
      </c>
      <c r="K73" s="790" t="s">
        <v>194</v>
      </c>
      <c r="L73" s="651" t="s">
        <v>194</v>
      </c>
      <c r="M73" s="651" t="s">
        <v>194</v>
      </c>
      <c r="N73" s="708" t="str">
        <f>VLOOKUP($I73,Prices!A:D,4,0)</f>
        <v>.</v>
      </c>
      <c r="O73" s="772" t="s">
        <v>194</v>
      </c>
      <c r="P73" s="793" t="s">
        <v>194</v>
      </c>
      <c r="Q73" s="769">
        <f t="shared" ref="Q73:Q74" si="5">G73</f>
        <v>1000000</v>
      </c>
      <c r="R73" s="769">
        <f>Q73/VLOOKUP(H73,'Currency Conversion'!B:C,2,0)</f>
        <v>738825.26782415959</v>
      </c>
      <c r="S73" s="763">
        <f>R73</f>
        <v>738825.26782415959</v>
      </c>
      <c r="T73" s="761" t="s">
        <v>240</v>
      </c>
      <c r="U73" s="756" t="s">
        <v>415</v>
      </c>
      <c r="V73" s="810" t="s">
        <v>194</v>
      </c>
      <c r="W73" s="787" t="s">
        <v>194</v>
      </c>
      <c r="X73" s="771" t="s">
        <v>194</v>
      </c>
      <c r="Y73" s="759">
        <v>0</v>
      </c>
      <c r="Z73" s="761">
        <v>0</v>
      </c>
      <c r="AA73" s="762" t="s">
        <v>419</v>
      </c>
    </row>
    <row r="74" spans="1:42" s="661" customFormat="1" ht="87" customHeight="1">
      <c r="A74" s="879" t="s">
        <v>420</v>
      </c>
      <c r="B74" s="879" t="s">
        <v>350</v>
      </c>
      <c r="C74" s="906">
        <v>44629</v>
      </c>
      <c r="D74" s="879" t="s">
        <v>212</v>
      </c>
      <c r="E74" s="873" t="s">
        <v>213</v>
      </c>
      <c r="F74" s="882" t="s">
        <v>421</v>
      </c>
      <c r="G74" s="916">
        <v>50000000</v>
      </c>
      <c r="H74" s="888" t="s">
        <v>353</v>
      </c>
      <c r="I74" s="775" t="s">
        <v>422</v>
      </c>
      <c r="J74" s="658">
        <v>2</v>
      </c>
      <c r="K74" s="790">
        <v>0</v>
      </c>
      <c r="L74" s="651" t="s">
        <v>224</v>
      </c>
      <c r="M74" s="651" t="s">
        <v>194</v>
      </c>
      <c r="N74" s="647" t="s">
        <v>194</v>
      </c>
      <c r="O74" s="772" t="s">
        <v>194</v>
      </c>
      <c r="P74" s="793" t="s">
        <v>194</v>
      </c>
      <c r="Q74" s="877">
        <f t="shared" si="5"/>
        <v>50000000</v>
      </c>
      <c r="R74" s="877">
        <f>Q74/VLOOKUP(H74,'Currency Conversion'!B:C,2,0)</f>
        <v>36941263.391207978</v>
      </c>
      <c r="S74" s="891">
        <f>R74</f>
        <v>36941263.391207978</v>
      </c>
      <c r="T74" s="888" t="s">
        <v>325</v>
      </c>
      <c r="U74" s="854" t="s">
        <v>423</v>
      </c>
      <c r="V74" s="854" t="s">
        <v>424</v>
      </c>
      <c r="W74" s="787" t="s">
        <v>194</v>
      </c>
      <c r="X74" s="771" t="s">
        <v>194</v>
      </c>
      <c r="Y74" s="878">
        <v>0</v>
      </c>
      <c r="Z74" s="888">
        <v>0</v>
      </c>
      <c r="AA74" s="899" t="s">
        <v>425</v>
      </c>
    </row>
    <row r="75" spans="1:42" s="661" customFormat="1" ht="87" customHeight="1">
      <c r="A75" s="879"/>
      <c r="B75" s="879"/>
      <c r="C75" s="906"/>
      <c r="D75" s="879"/>
      <c r="E75" s="873"/>
      <c r="F75" s="882"/>
      <c r="G75" s="916"/>
      <c r="H75" s="888"/>
      <c r="I75" s="775" t="s">
        <v>426</v>
      </c>
      <c r="J75" s="658">
        <f>VLOOKUP($I75,Prices!A:B,2,0)</f>
        <v>1</v>
      </c>
      <c r="K75" s="790">
        <v>0</v>
      </c>
      <c r="L75" s="651" t="s">
        <v>224</v>
      </c>
      <c r="M75" s="651"/>
      <c r="N75" s="647"/>
      <c r="O75" s="772" t="s">
        <v>194</v>
      </c>
      <c r="P75" s="793" t="s">
        <v>194</v>
      </c>
      <c r="Q75" s="877"/>
      <c r="R75" s="877"/>
      <c r="S75" s="891"/>
      <c r="T75" s="888"/>
      <c r="U75" s="854"/>
      <c r="V75" s="854"/>
      <c r="W75" s="787"/>
      <c r="X75" s="771"/>
      <c r="Y75" s="878"/>
      <c r="Z75" s="888"/>
      <c r="AA75" s="899"/>
    </row>
    <row r="76" spans="1:42" s="661" customFormat="1" ht="38.25" customHeight="1">
      <c r="A76" s="879" t="s">
        <v>427</v>
      </c>
      <c r="B76" s="879" t="s">
        <v>350</v>
      </c>
      <c r="C76" s="906">
        <v>44673</v>
      </c>
      <c r="D76" s="879" t="s">
        <v>212</v>
      </c>
      <c r="E76" s="879" t="s">
        <v>320</v>
      </c>
      <c r="F76" s="882" t="s">
        <v>428</v>
      </c>
      <c r="G76" s="877" t="s">
        <v>259</v>
      </c>
      <c r="H76" s="888" t="s">
        <v>260</v>
      </c>
      <c r="I76" s="775" t="s">
        <v>246</v>
      </c>
      <c r="J76" s="658">
        <f>VLOOKUP($I76,Prices!A:B,2,0)</f>
        <v>4</v>
      </c>
      <c r="K76" s="790">
        <f>VLOOKUP(I76,Prices!A:C,3,0)</f>
        <v>0</v>
      </c>
      <c r="L76" s="788">
        <v>4</v>
      </c>
      <c r="M76" s="651">
        <v>4</v>
      </c>
      <c r="N76" s="707">
        <f>VLOOKUP($I76,Prices!A:D,4,0)</f>
        <v>5170000</v>
      </c>
      <c r="O76" s="772">
        <f t="shared" si="4"/>
        <v>20680000</v>
      </c>
      <c r="P76" s="793">
        <f t="shared" si="2"/>
        <v>20680000</v>
      </c>
      <c r="Q76" s="877">
        <f>SUM(O76:O77)</f>
        <v>20680000</v>
      </c>
      <c r="R76" s="877">
        <f>Q76/VLOOKUP(H76,'Currency Conversion'!B:C,2,0)</f>
        <v>19583333.333333332</v>
      </c>
      <c r="S76" s="891">
        <f>R76</f>
        <v>19583333.333333332</v>
      </c>
      <c r="T76" s="891" t="s">
        <v>240</v>
      </c>
      <c r="U76" s="922" t="s">
        <v>429</v>
      </c>
      <c r="V76" s="922" t="s">
        <v>430</v>
      </c>
      <c r="W76" s="921" t="s">
        <v>194</v>
      </c>
      <c r="X76" s="877" t="s">
        <v>194</v>
      </c>
      <c r="Y76" s="891">
        <v>0</v>
      </c>
      <c r="Z76" s="891">
        <v>0</v>
      </c>
      <c r="AA76" s="762" t="s">
        <v>430</v>
      </c>
    </row>
    <row r="77" spans="1:42" s="661" customFormat="1" ht="32.25" customHeight="1">
      <c r="A77" s="879"/>
      <c r="B77" s="879"/>
      <c r="C77" s="879"/>
      <c r="D77" s="879"/>
      <c r="E77" s="879"/>
      <c r="F77" s="882"/>
      <c r="G77" s="877"/>
      <c r="H77" s="888"/>
      <c r="I77" s="671" t="s">
        <v>405</v>
      </c>
      <c r="J77" s="658">
        <f>VLOOKUP($I77,Prices!A:B,2,0)</f>
        <v>2</v>
      </c>
      <c r="K77" s="790">
        <f>VLOOKUP(I77,Prices!A:C,3,0)</f>
        <v>0</v>
      </c>
      <c r="L77" s="788" t="s">
        <v>224</v>
      </c>
      <c r="M77" s="651" t="s">
        <v>224</v>
      </c>
      <c r="N77" s="647">
        <f>VLOOKUP($I77,Prices!A:D,4,0)</f>
        <v>20000</v>
      </c>
      <c r="O77" s="726" t="s">
        <v>194</v>
      </c>
      <c r="P77" s="793" t="s">
        <v>194</v>
      </c>
      <c r="Q77" s="877"/>
      <c r="R77" s="877"/>
      <c r="S77" s="891"/>
      <c r="T77" s="888"/>
      <c r="U77" s="854"/>
      <c r="V77" s="854"/>
      <c r="W77" s="919"/>
      <c r="X77" s="879"/>
      <c r="Y77" s="888"/>
      <c r="Z77" s="888"/>
      <c r="AA77" s="758" t="s">
        <v>431</v>
      </c>
    </row>
    <row r="78" spans="1:42" s="661" customFormat="1" ht="34.5" customHeight="1">
      <c r="A78" s="868" t="s">
        <v>432</v>
      </c>
      <c r="B78" s="868" t="s">
        <v>350</v>
      </c>
      <c r="C78" s="780">
        <v>44673</v>
      </c>
      <c r="D78" s="868" t="s">
        <v>212</v>
      </c>
      <c r="E78" s="880" t="s">
        <v>213</v>
      </c>
      <c r="F78" s="890" t="s">
        <v>433</v>
      </c>
      <c r="G78" s="875">
        <v>500000000</v>
      </c>
      <c r="H78" s="870" t="s">
        <v>353</v>
      </c>
      <c r="I78" s="775" t="s">
        <v>434</v>
      </c>
      <c r="J78" s="658">
        <f>VLOOKUP($I78,Prices!A:B,2,0)</f>
        <v>1</v>
      </c>
      <c r="K78" s="790">
        <f>VLOOKUP(I78,Prices!A:C,3,0)</f>
        <v>0</v>
      </c>
      <c r="L78" s="788">
        <v>8</v>
      </c>
      <c r="M78" s="788">
        <v>8</v>
      </c>
      <c r="N78" s="647">
        <f>VLOOKUP($I78,Prices!A:D,4,0)</f>
        <v>350000</v>
      </c>
      <c r="O78" s="772">
        <f t="shared" si="4"/>
        <v>2800000</v>
      </c>
      <c r="P78" s="793">
        <f t="shared" ref="P78:P133" si="6">$M78*$N78</f>
        <v>2800000</v>
      </c>
      <c r="Q78" s="869">
        <f>G78</f>
        <v>500000000</v>
      </c>
      <c r="R78" s="869">
        <f>Q78/VLOOKUP(H78, 'Currency Conversion'!B:C, 2, 0)</f>
        <v>369412633.91207981</v>
      </c>
      <c r="S78" s="886">
        <f>R78</f>
        <v>369412633.91207981</v>
      </c>
      <c r="T78" s="870" t="s">
        <v>240</v>
      </c>
      <c r="U78" s="756" t="s">
        <v>429</v>
      </c>
      <c r="V78" s="756" t="s">
        <v>435</v>
      </c>
      <c r="W78" s="756" t="s">
        <v>436</v>
      </c>
      <c r="X78" s="661" t="s">
        <v>194</v>
      </c>
      <c r="Y78" s="878">
        <v>0</v>
      </c>
      <c r="Z78" s="870">
        <v>1</v>
      </c>
      <c r="AA78" s="758" t="s">
        <v>437</v>
      </c>
    </row>
    <row r="79" spans="1:42" s="661" customFormat="1" ht="34.5" customHeight="1">
      <c r="A79" s="868"/>
      <c r="B79" s="868"/>
      <c r="C79" s="780">
        <v>44677</v>
      </c>
      <c r="D79" s="868"/>
      <c r="E79" s="880"/>
      <c r="F79" s="890"/>
      <c r="G79" s="875"/>
      <c r="H79" s="870"/>
      <c r="I79" s="775" t="s">
        <v>438</v>
      </c>
      <c r="J79" s="658">
        <f>VLOOKUP($I79,Prices!A:B,2,0)</f>
        <v>4.5</v>
      </c>
      <c r="K79" s="790">
        <f>VLOOKUP(I79,Prices!A:C,3,0)</f>
        <v>0</v>
      </c>
      <c r="L79" s="788">
        <v>20000</v>
      </c>
      <c r="M79" s="788">
        <v>20000</v>
      </c>
      <c r="N79" s="647">
        <f>VLOOKUP($I79,Prices!A:D,4,0)</f>
        <v>3890</v>
      </c>
      <c r="O79" s="772">
        <f t="shared" si="4"/>
        <v>77800000</v>
      </c>
      <c r="P79" s="793">
        <f t="shared" si="6"/>
        <v>77800000</v>
      </c>
      <c r="Q79" s="869"/>
      <c r="R79" s="869"/>
      <c r="S79" s="886"/>
      <c r="T79" s="870"/>
      <c r="U79" s="756" t="s">
        <v>429</v>
      </c>
      <c r="V79" s="756" t="s">
        <v>439</v>
      </c>
      <c r="W79" s="756" t="s">
        <v>440</v>
      </c>
      <c r="X79" s="661" t="s">
        <v>194</v>
      </c>
      <c r="Y79" s="878"/>
      <c r="Z79" s="870"/>
      <c r="AA79" s="758" t="s">
        <v>441</v>
      </c>
    </row>
    <row r="80" spans="1:42" s="661" customFormat="1" ht="51" customHeight="1">
      <c r="A80" s="868"/>
      <c r="B80" s="868"/>
      <c r="C80" s="780">
        <v>44704</v>
      </c>
      <c r="D80" s="868"/>
      <c r="E80" s="880"/>
      <c r="F80" s="890"/>
      <c r="G80" s="875"/>
      <c r="H80" s="870"/>
      <c r="I80" s="775" t="s">
        <v>442</v>
      </c>
      <c r="J80" s="658">
        <f>VLOOKUP($I80,Prices!A:B,2,0)</f>
        <v>4.5</v>
      </c>
      <c r="K80" s="790">
        <f>VLOOKUP(I80,Prices!A:C,3,0)</f>
        <v>0</v>
      </c>
      <c r="L80" s="788">
        <v>10</v>
      </c>
      <c r="M80" s="788" t="s">
        <v>194</v>
      </c>
      <c r="N80" s="647">
        <f>VLOOKUP($I80,Prices!A:D,4,0)</f>
        <v>704613.12</v>
      </c>
      <c r="O80" s="772">
        <f t="shared" si="4"/>
        <v>7046131.2000000002</v>
      </c>
      <c r="P80" s="793" t="s">
        <v>194</v>
      </c>
      <c r="Q80" s="869"/>
      <c r="R80" s="869"/>
      <c r="S80" s="886"/>
      <c r="T80" s="870"/>
      <c r="U80" s="756" t="s">
        <v>429</v>
      </c>
      <c r="V80" s="756" t="s">
        <v>443</v>
      </c>
      <c r="W80" s="756" t="s">
        <v>194</v>
      </c>
      <c r="X80" s="661" t="s">
        <v>194</v>
      </c>
      <c r="Y80" s="878"/>
      <c r="Z80" s="870"/>
      <c r="AA80" s="758" t="s">
        <v>194</v>
      </c>
    </row>
    <row r="81" spans="1:42" s="661" customFormat="1" ht="16.5" customHeight="1">
      <c r="A81" s="868" t="s">
        <v>444</v>
      </c>
      <c r="B81" s="868" t="s">
        <v>350</v>
      </c>
      <c r="C81" s="867">
        <v>44689</v>
      </c>
      <c r="D81" s="868" t="s">
        <v>212</v>
      </c>
      <c r="E81" s="880" t="s">
        <v>213</v>
      </c>
      <c r="F81" s="884" t="s">
        <v>445</v>
      </c>
      <c r="G81" s="875">
        <v>50000000</v>
      </c>
      <c r="H81" s="888" t="s">
        <v>353</v>
      </c>
      <c r="I81" s="775" t="s">
        <v>426</v>
      </c>
      <c r="J81" s="658">
        <f>VLOOKUP($I81,Prices!A:B,2,0)</f>
        <v>1</v>
      </c>
      <c r="K81" s="790">
        <f>VLOOKUP(I81,Prices!A:C,3,0)</f>
        <v>0</v>
      </c>
      <c r="L81" s="788">
        <v>18</v>
      </c>
      <c r="M81" s="788">
        <v>18</v>
      </c>
      <c r="N81" s="707">
        <f>VLOOKUP($I81,Prices!A:D,4,0)</f>
        <v>979</v>
      </c>
      <c r="O81" s="772">
        <f t="shared" si="4"/>
        <v>17622</v>
      </c>
      <c r="P81" s="793">
        <f t="shared" si="6"/>
        <v>17622</v>
      </c>
      <c r="Q81" s="869">
        <f>G81</f>
        <v>50000000</v>
      </c>
      <c r="R81" s="877">
        <f>Q81/VLOOKUP(H81,'Currency Conversion'!B:C,2,0)</f>
        <v>36941263.391207978</v>
      </c>
      <c r="S81" s="891">
        <f>R81</f>
        <v>36941263.391207978</v>
      </c>
      <c r="T81" s="870" t="s">
        <v>195</v>
      </c>
      <c r="U81" s="854" t="s">
        <v>446</v>
      </c>
      <c r="V81" s="920" t="s">
        <v>194</v>
      </c>
      <c r="W81" s="920" t="s">
        <v>194</v>
      </c>
      <c r="X81" s="905" t="s">
        <v>194</v>
      </c>
      <c r="Y81" s="878">
        <v>0</v>
      </c>
      <c r="Z81" s="870">
        <v>0</v>
      </c>
      <c r="AA81" s="899" t="s">
        <v>447</v>
      </c>
    </row>
    <row r="82" spans="1:42" s="661" customFormat="1" ht="24.75" customHeight="1">
      <c r="A82" s="868"/>
      <c r="B82" s="868"/>
      <c r="C82" s="867"/>
      <c r="D82" s="868"/>
      <c r="E82" s="880"/>
      <c r="F82" s="884"/>
      <c r="G82" s="875"/>
      <c r="H82" s="888"/>
      <c r="I82" s="775" t="s">
        <v>448</v>
      </c>
      <c r="J82" s="658">
        <f>VLOOKUP($I82,Prices!A:B,2,0)</f>
        <v>1</v>
      </c>
      <c r="K82" s="790">
        <f>VLOOKUP(I82,Prices!A:C,3,0)</f>
        <v>0</v>
      </c>
      <c r="L82" s="788" t="s">
        <v>224</v>
      </c>
      <c r="M82" s="788" t="s">
        <v>224</v>
      </c>
      <c r="N82" s="647" t="str">
        <f>VLOOKUP($I82,Prices!A:D,4,0)</f>
        <v>.</v>
      </c>
      <c r="O82" s="772" t="s">
        <v>194</v>
      </c>
      <c r="P82" s="793" t="s">
        <v>194</v>
      </c>
      <c r="Q82" s="869"/>
      <c r="R82" s="877"/>
      <c r="S82" s="891"/>
      <c r="T82" s="870"/>
      <c r="U82" s="854"/>
      <c r="V82" s="920"/>
      <c r="W82" s="920"/>
      <c r="X82" s="905"/>
      <c r="Y82" s="878"/>
      <c r="Z82" s="870"/>
      <c r="AA82" s="899"/>
    </row>
    <row r="83" spans="1:42" s="661" customFormat="1" ht="20.25" customHeight="1">
      <c r="A83" s="868"/>
      <c r="B83" s="868"/>
      <c r="C83" s="867"/>
      <c r="D83" s="868"/>
      <c r="E83" s="880"/>
      <c r="F83" s="884"/>
      <c r="G83" s="875"/>
      <c r="H83" s="888"/>
      <c r="I83" s="775" t="s">
        <v>449</v>
      </c>
      <c r="J83" s="658">
        <f>VLOOKUP($I83,Prices!A:B,2,0)</f>
        <v>2.5</v>
      </c>
      <c r="K83" s="790">
        <f>VLOOKUP(I83,Prices!A:C,3,0)</f>
        <v>0</v>
      </c>
      <c r="L83" s="788" t="s">
        <v>224</v>
      </c>
      <c r="M83" s="788" t="s">
        <v>224</v>
      </c>
      <c r="N83" s="707" t="str">
        <f>VLOOKUP($I83,Prices!A:D,4,0)</f>
        <v>.</v>
      </c>
      <c r="O83" s="772" t="s">
        <v>194</v>
      </c>
      <c r="P83" s="793" t="s">
        <v>194</v>
      </c>
      <c r="Q83" s="869"/>
      <c r="R83" s="877"/>
      <c r="S83" s="891"/>
      <c r="T83" s="870"/>
      <c r="U83" s="854"/>
      <c r="V83" s="920"/>
      <c r="W83" s="920"/>
      <c r="X83" s="905"/>
      <c r="Y83" s="878"/>
      <c r="Z83" s="870"/>
      <c r="AA83" s="899"/>
    </row>
    <row r="84" spans="1:42" s="661" customFormat="1" ht="21.75" customHeight="1">
      <c r="A84" s="868"/>
      <c r="B84" s="868"/>
      <c r="C84" s="867"/>
      <c r="D84" s="868"/>
      <c r="E84" s="880"/>
      <c r="F84" s="884"/>
      <c r="G84" s="875"/>
      <c r="H84" s="888"/>
      <c r="I84" s="775" t="s">
        <v>249</v>
      </c>
      <c r="J84" s="658">
        <f>VLOOKUP($I84,Prices!A:B,2,0)</f>
        <v>4.5</v>
      </c>
      <c r="K84" s="790">
        <f>VLOOKUP(I84,Prices!A:C,3,0)</f>
        <v>0</v>
      </c>
      <c r="L84" s="788" t="s">
        <v>224</v>
      </c>
      <c r="M84" s="788" t="s">
        <v>224</v>
      </c>
      <c r="N84" s="647">
        <f>VLOOKUP($I84,Prices!A:D,4,0)</f>
        <v>3890</v>
      </c>
      <c r="O84" s="772" t="s">
        <v>194</v>
      </c>
      <c r="P84" s="793" t="s">
        <v>194</v>
      </c>
      <c r="Q84" s="869"/>
      <c r="R84" s="877"/>
      <c r="S84" s="891"/>
      <c r="T84" s="870"/>
      <c r="U84" s="854"/>
      <c r="V84" s="920"/>
      <c r="W84" s="920"/>
      <c r="X84" s="905"/>
      <c r="Y84" s="878"/>
      <c r="Z84" s="870"/>
      <c r="AA84" s="899"/>
    </row>
    <row r="85" spans="1:42" s="661" customFormat="1" ht="34.5" customHeight="1">
      <c r="A85" s="868" t="s">
        <v>450</v>
      </c>
      <c r="B85" s="868" t="s">
        <v>350</v>
      </c>
      <c r="C85" s="867">
        <v>44742</v>
      </c>
      <c r="D85" s="868" t="s">
        <v>212</v>
      </c>
      <c r="E85" s="879" t="s">
        <v>320</v>
      </c>
      <c r="F85" s="890" t="s">
        <v>451</v>
      </c>
      <c r="G85" s="875" t="s">
        <v>201</v>
      </c>
      <c r="H85" s="870" t="s">
        <v>260</v>
      </c>
      <c r="I85" s="775" t="s">
        <v>426</v>
      </c>
      <c r="J85" s="658">
        <f>VLOOKUP($I85,Prices!A:B,2,0)</f>
        <v>1</v>
      </c>
      <c r="K85" s="790">
        <f>VLOOKUP(I85,Prices!A:C,3,0)</f>
        <v>0</v>
      </c>
      <c r="L85" s="788">
        <v>6</v>
      </c>
      <c r="M85" s="788" t="s">
        <v>224</v>
      </c>
      <c r="N85" s="647">
        <f>VLOOKUP($I85,Prices!A:D,4,0)</f>
        <v>979</v>
      </c>
      <c r="O85" s="772">
        <f t="shared" si="4"/>
        <v>5874</v>
      </c>
      <c r="P85" s="793" t="s">
        <v>194</v>
      </c>
      <c r="Q85" s="869">
        <f>SUM(O85:O86)</f>
        <v>170153748.77999997</v>
      </c>
      <c r="R85" s="869">
        <f>Q85/VLOOKUP(H85, 'Currency Conversion'!B:C, 2, 0)</f>
        <v>161130443.9204545</v>
      </c>
      <c r="S85" s="886" t="s">
        <v>194</v>
      </c>
      <c r="T85" s="870" t="s">
        <v>195</v>
      </c>
      <c r="U85" s="854" t="s">
        <v>452</v>
      </c>
      <c r="V85" s="854" t="s">
        <v>453</v>
      </c>
      <c r="W85" s="756" t="s">
        <v>21</v>
      </c>
      <c r="X85" s="661" t="s">
        <v>21</v>
      </c>
      <c r="Y85" s="878" t="s">
        <v>21</v>
      </c>
      <c r="Z85" s="870" t="s">
        <v>21</v>
      </c>
      <c r="AA85" s="758" t="s">
        <v>194</v>
      </c>
      <c r="AB85" s="661" t="s">
        <v>21</v>
      </c>
      <c r="AC85" s="661" t="s">
        <v>21</v>
      </c>
      <c r="AD85" s="661" t="s">
        <v>21</v>
      </c>
      <c r="AE85" s="661" t="s">
        <v>21</v>
      </c>
      <c r="AF85" s="661" t="s">
        <v>21</v>
      </c>
      <c r="AG85" s="661" t="s">
        <v>21</v>
      </c>
      <c r="AH85" s="661" t="s">
        <v>21</v>
      </c>
      <c r="AI85" s="661" t="s">
        <v>21</v>
      </c>
      <c r="AJ85" s="661" t="s">
        <v>21</v>
      </c>
      <c r="AK85" s="661" t="s">
        <v>21</v>
      </c>
      <c r="AL85" s="661" t="s">
        <v>21</v>
      </c>
      <c r="AM85" s="661" t="s">
        <v>21</v>
      </c>
      <c r="AN85" s="661" t="s">
        <v>21</v>
      </c>
      <c r="AO85" s="661" t="s">
        <v>21</v>
      </c>
    </row>
    <row r="86" spans="1:42" s="661" customFormat="1" ht="34.5" customHeight="1">
      <c r="A86" s="848"/>
      <c r="B86" s="848"/>
      <c r="C86" s="867"/>
      <c r="D86" s="848"/>
      <c r="E86" s="879"/>
      <c r="F86" s="859"/>
      <c r="G86" s="938"/>
      <c r="H86" s="857"/>
      <c r="I86" s="775" t="s">
        <v>454</v>
      </c>
      <c r="J86" s="658">
        <f>VLOOKUP($I86,Prices!A:B,2,0)</f>
        <v>4</v>
      </c>
      <c r="K86" s="790">
        <f>VLOOKUP(I86,Prices!A:C,3,0)</f>
        <v>0</v>
      </c>
      <c r="L86" s="788">
        <v>39</v>
      </c>
      <c r="M86" s="788" t="s">
        <v>224</v>
      </c>
      <c r="N86" s="647">
        <f>VLOOKUP($I86,Prices!A:D,4,0)</f>
        <v>4362766.0199999996</v>
      </c>
      <c r="O86" s="772">
        <f t="shared" si="4"/>
        <v>170147874.77999997</v>
      </c>
      <c r="P86" s="793" t="s">
        <v>194</v>
      </c>
      <c r="Q86" s="934"/>
      <c r="R86" s="934"/>
      <c r="S86" s="930"/>
      <c r="T86" s="857"/>
      <c r="U86" s="854"/>
      <c r="V86" s="854"/>
      <c r="W86" s="756"/>
      <c r="Y86" s="857"/>
      <c r="Z86" s="857"/>
      <c r="AA86" s="758"/>
      <c r="AB86" s="661" t="s">
        <v>21</v>
      </c>
      <c r="AC86" s="661" t="s">
        <v>21</v>
      </c>
      <c r="AD86" s="661" t="s">
        <v>21</v>
      </c>
      <c r="AE86" s="661" t="s">
        <v>21</v>
      </c>
      <c r="AF86" s="661" t="s">
        <v>21</v>
      </c>
      <c r="AG86" s="661" t="s">
        <v>21</v>
      </c>
      <c r="AH86" s="661" t="s">
        <v>21</v>
      </c>
      <c r="AI86" s="661" t="s">
        <v>21</v>
      </c>
      <c r="AJ86" s="661" t="s">
        <v>21</v>
      </c>
      <c r="AK86" s="661" t="s">
        <v>21</v>
      </c>
      <c r="AL86" s="661" t="s">
        <v>21</v>
      </c>
      <c r="AM86" s="661" t="s">
        <v>21</v>
      </c>
      <c r="AN86" s="661" t="s">
        <v>21</v>
      </c>
      <c r="AO86" s="661" t="s">
        <v>21</v>
      </c>
    </row>
    <row r="87" spans="1:42" s="661" customFormat="1" ht="34.5" customHeight="1">
      <c r="A87" s="750" t="s">
        <v>455</v>
      </c>
      <c r="B87" s="750" t="s">
        <v>456</v>
      </c>
      <c r="C87" s="751">
        <v>44629</v>
      </c>
      <c r="D87" s="750" t="s">
        <v>190</v>
      </c>
      <c r="E87" s="819" t="s">
        <v>191</v>
      </c>
      <c r="F87" s="789" t="s">
        <v>457</v>
      </c>
      <c r="G87" s="793">
        <v>5000000</v>
      </c>
      <c r="H87" s="754" t="s">
        <v>458</v>
      </c>
      <c r="I87" s="547" t="s">
        <v>194</v>
      </c>
      <c r="J87" s="658" t="str">
        <f>VLOOKUP($I87,Prices!A:B,2,0)</f>
        <v>.</v>
      </c>
      <c r="K87" s="790" t="s">
        <v>194</v>
      </c>
      <c r="L87" s="640" t="s">
        <v>194</v>
      </c>
      <c r="M87" s="640" t="s">
        <v>194</v>
      </c>
      <c r="N87" s="648" t="s">
        <v>194</v>
      </c>
      <c r="O87" s="772" t="s">
        <v>194</v>
      </c>
      <c r="P87" s="793" t="s">
        <v>194</v>
      </c>
      <c r="Q87" s="753">
        <f t="shared" ref="Q87:Q93" si="7">G87</f>
        <v>5000000</v>
      </c>
      <c r="R87" s="769">
        <f>Q87/VLOOKUP(H87,'Currency Conversion'!B:C,2,0)</f>
        <v>707243.58883686713</v>
      </c>
      <c r="S87" s="804" t="s">
        <v>194</v>
      </c>
      <c r="T87" s="754" t="s">
        <v>298</v>
      </c>
      <c r="U87" s="756" t="s">
        <v>459</v>
      </c>
      <c r="V87" s="805" t="s">
        <v>194</v>
      </c>
      <c r="W87" s="805" t="s">
        <v>194</v>
      </c>
      <c r="X87" s="709" t="s">
        <v>194</v>
      </c>
      <c r="Y87" s="754">
        <v>0</v>
      </c>
      <c r="Z87" s="754">
        <v>1</v>
      </c>
      <c r="AA87" s="690" t="s">
        <v>194</v>
      </c>
      <c r="AB87" s="710" t="s">
        <v>21</v>
      </c>
      <c r="AC87" s="710" t="s">
        <v>21</v>
      </c>
      <c r="AD87" s="710" t="s">
        <v>21</v>
      </c>
      <c r="AE87" s="710" t="s">
        <v>21</v>
      </c>
      <c r="AF87" s="710" t="s">
        <v>21</v>
      </c>
      <c r="AG87" s="710" t="s">
        <v>21</v>
      </c>
      <c r="AH87" s="710" t="s">
        <v>21</v>
      </c>
      <c r="AI87" s="710" t="s">
        <v>21</v>
      </c>
      <c r="AJ87" s="710" t="s">
        <v>21</v>
      </c>
      <c r="AK87" s="710" t="s">
        <v>21</v>
      </c>
      <c r="AL87" s="710" t="s">
        <v>21</v>
      </c>
      <c r="AM87" s="710" t="s">
        <v>21</v>
      </c>
      <c r="AN87" s="710" t="s">
        <v>21</v>
      </c>
      <c r="AO87" s="710" t="s">
        <v>21</v>
      </c>
    </row>
    <row r="88" spans="1:42" s="661" customFormat="1" ht="34.5" customHeight="1">
      <c r="A88" s="750" t="s">
        <v>460</v>
      </c>
      <c r="B88" s="750" t="s">
        <v>456</v>
      </c>
      <c r="C88" s="751">
        <v>44641</v>
      </c>
      <c r="D88" s="750" t="s">
        <v>190</v>
      </c>
      <c r="E88" s="819" t="s">
        <v>191</v>
      </c>
      <c r="F88" s="789" t="s">
        <v>461</v>
      </c>
      <c r="G88" s="793">
        <v>10000000</v>
      </c>
      <c r="H88" s="754" t="s">
        <v>458</v>
      </c>
      <c r="I88" s="547" t="s">
        <v>194</v>
      </c>
      <c r="J88" s="658" t="str">
        <f>VLOOKUP($I88,Prices!A:B,2,0)</f>
        <v>.</v>
      </c>
      <c r="K88" s="790" t="s">
        <v>194</v>
      </c>
      <c r="L88" s="640" t="s">
        <v>194</v>
      </c>
      <c r="M88" s="640" t="s">
        <v>194</v>
      </c>
      <c r="N88" s="648" t="s">
        <v>194</v>
      </c>
      <c r="O88" s="772" t="s">
        <v>194</v>
      </c>
      <c r="P88" s="793" t="s">
        <v>194</v>
      </c>
      <c r="Q88" s="753">
        <f t="shared" si="7"/>
        <v>10000000</v>
      </c>
      <c r="R88" s="769">
        <f>Q88/VLOOKUP(H88,'Currency Conversion'!B:C,2,0)</f>
        <v>1414487.1776737343</v>
      </c>
      <c r="S88" s="804" t="s">
        <v>194</v>
      </c>
      <c r="T88" s="754" t="s">
        <v>298</v>
      </c>
      <c r="U88" s="756" t="s">
        <v>462</v>
      </c>
      <c r="V88" s="805" t="s">
        <v>194</v>
      </c>
      <c r="W88" s="805" t="s">
        <v>194</v>
      </c>
      <c r="X88" s="709" t="s">
        <v>194</v>
      </c>
      <c r="Y88" s="754">
        <v>0</v>
      </c>
      <c r="Z88" s="754">
        <v>1</v>
      </c>
      <c r="AA88" s="690" t="s">
        <v>194</v>
      </c>
      <c r="AB88" s="710" t="s">
        <v>21</v>
      </c>
      <c r="AC88" s="710" t="s">
        <v>21</v>
      </c>
      <c r="AD88" s="710" t="s">
        <v>21</v>
      </c>
      <c r="AE88" s="710" t="s">
        <v>21</v>
      </c>
      <c r="AF88" s="710" t="s">
        <v>21</v>
      </c>
      <c r="AG88" s="710" t="s">
        <v>21</v>
      </c>
      <c r="AH88" s="710" t="s">
        <v>21</v>
      </c>
      <c r="AI88" s="710" t="s">
        <v>21</v>
      </c>
      <c r="AJ88" s="710" t="s">
        <v>21</v>
      </c>
      <c r="AK88" s="710" t="s">
        <v>21</v>
      </c>
      <c r="AL88" s="710" t="s">
        <v>21</v>
      </c>
      <c r="AM88" s="710" t="s">
        <v>21</v>
      </c>
      <c r="AN88" s="710" t="s">
        <v>21</v>
      </c>
      <c r="AO88" s="710" t="s">
        <v>21</v>
      </c>
    </row>
    <row r="89" spans="1:42" ht="78" customHeight="1">
      <c r="A89" s="767" t="s">
        <v>463</v>
      </c>
      <c r="B89" s="767" t="s">
        <v>464</v>
      </c>
      <c r="C89" s="768">
        <v>44616</v>
      </c>
      <c r="D89" s="767" t="s">
        <v>190</v>
      </c>
      <c r="E89" s="767" t="s">
        <v>199</v>
      </c>
      <c r="F89" s="787" t="s">
        <v>465</v>
      </c>
      <c r="G89" s="770">
        <v>9100000</v>
      </c>
      <c r="H89" s="761" t="s">
        <v>466</v>
      </c>
      <c r="I89" s="767" t="s">
        <v>194</v>
      </c>
      <c r="J89" s="658" t="str">
        <f>VLOOKUP($I89,Prices!A:B,2,0)</f>
        <v>.</v>
      </c>
      <c r="K89" s="790" t="s">
        <v>194</v>
      </c>
      <c r="L89" s="651" t="s">
        <v>194</v>
      </c>
      <c r="M89" s="651" t="s">
        <v>194</v>
      </c>
      <c r="N89" s="708" t="str">
        <f>VLOOKUP($I89,Prices!A:D,4,0)</f>
        <v>.</v>
      </c>
      <c r="O89" s="772" t="s">
        <v>194</v>
      </c>
      <c r="P89" s="793" t="s">
        <v>194</v>
      </c>
      <c r="Q89" s="769">
        <f t="shared" si="7"/>
        <v>9100000</v>
      </c>
      <c r="R89" s="769">
        <f>Q89/VLOOKUP(H89,'Currency Conversion'!B:C,2,0)</f>
        <v>1209221.9786060727</v>
      </c>
      <c r="S89" s="763" t="s">
        <v>194</v>
      </c>
      <c r="T89" s="761" t="s">
        <v>195</v>
      </c>
      <c r="U89" s="756" t="s">
        <v>467</v>
      </c>
      <c r="V89" s="756" t="s">
        <v>468</v>
      </c>
      <c r="W89" s="756" t="s">
        <v>469</v>
      </c>
      <c r="X89" s="771" t="s">
        <v>194</v>
      </c>
      <c r="Y89" s="759">
        <v>0</v>
      </c>
      <c r="Z89" s="761">
        <v>0</v>
      </c>
      <c r="AA89" s="802" t="s">
        <v>194</v>
      </c>
      <c r="AB89" s="767"/>
      <c r="AC89" s="767"/>
      <c r="AD89" s="767"/>
      <c r="AE89" s="767"/>
      <c r="AF89" s="767"/>
      <c r="AG89" s="767"/>
      <c r="AH89" s="767"/>
      <c r="AI89" s="767"/>
      <c r="AJ89" s="767"/>
      <c r="AK89" s="767"/>
      <c r="AL89" s="767"/>
      <c r="AM89" s="767"/>
      <c r="AN89" s="767"/>
      <c r="AO89" s="767"/>
      <c r="AP89" s="767"/>
    </row>
    <row r="90" spans="1:42" ht="57.95" customHeight="1">
      <c r="A90" s="767" t="s">
        <v>470</v>
      </c>
      <c r="B90" s="767" t="s">
        <v>464</v>
      </c>
      <c r="C90" s="768">
        <v>44659</v>
      </c>
      <c r="D90" s="767" t="s">
        <v>190</v>
      </c>
      <c r="E90" s="767" t="s">
        <v>199</v>
      </c>
      <c r="F90" s="787" t="s">
        <v>471</v>
      </c>
      <c r="G90" s="770">
        <v>1516800</v>
      </c>
      <c r="H90" s="761" t="s">
        <v>466</v>
      </c>
      <c r="I90" s="767" t="s">
        <v>194</v>
      </c>
      <c r="J90" s="658" t="str">
        <f>VLOOKUP($I90,Prices!A:B,2,0)</f>
        <v>.</v>
      </c>
      <c r="K90" s="790" t="s">
        <v>194</v>
      </c>
      <c r="L90" s="651" t="s">
        <v>194</v>
      </c>
      <c r="M90" s="651" t="s">
        <v>194</v>
      </c>
      <c r="N90" s="647" t="str">
        <f>VLOOKUP($I90,Prices!A:D,4,0)</f>
        <v>.</v>
      </c>
      <c r="O90" s="772" t="s">
        <v>194</v>
      </c>
      <c r="P90" s="793" t="s">
        <v>194</v>
      </c>
      <c r="Q90" s="769">
        <f t="shared" si="7"/>
        <v>1516800</v>
      </c>
      <c r="R90" s="769">
        <f>Q90/VLOOKUP(H90,'Currency Conversion'!B:C,2,0)</f>
        <v>201554.71397249351</v>
      </c>
      <c r="S90" s="763" t="s">
        <v>194</v>
      </c>
      <c r="T90" s="761" t="s">
        <v>240</v>
      </c>
      <c r="U90" s="756" t="s">
        <v>472</v>
      </c>
      <c r="V90" s="756" t="s">
        <v>473</v>
      </c>
      <c r="W90" s="787" t="s">
        <v>194</v>
      </c>
      <c r="X90" s="771" t="s">
        <v>194</v>
      </c>
      <c r="Y90" s="759">
        <v>0</v>
      </c>
      <c r="Z90" s="761">
        <v>0</v>
      </c>
      <c r="AA90" s="802" t="s">
        <v>194</v>
      </c>
      <c r="AB90" s="767"/>
      <c r="AC90" s="767"/>
      <c r="AD90" s="767"/>
      <c r="AE90" s="767"/>
      <c r="AF90" s="767"/>
      <c r="AG90" s="767"/>
      <c r="AH90" s="767"/>
      <c r="AI90" s="767"/>
      <c r="AJ90" s="767"/>
      <c r="AK90" s="767"/>
      <c r="AL90" s="767"/>
      <c r="AM90" s="767"/>
      <c r="AN90" s="767"/>
      <c r="AO90" s="767"/>
      <c r="AP90" s="767"/>
    </row>
    <row r="91" spans="1:42" s="141" customFormat="1" ht="57.95" customHeight="1">
      <c r="A91" s="775" t="s">
        <v>474</v>
      </c>
      <c r="B91" s="775" t="s">
        <v>464</v>
      </c>
      <c r="C91" s="780">
        <v>44686</v>
      </c>
      <c r="D91" s="775" t="s">
        <v>190</v>
      </c>
      <c r="E91" s="775" t="s">
        <v>191</v>
      </c>
      <c r="F91" s="773" t="s">
        <v>475</v>
      </c>
      <c r="G91" s="777">
        <v>5000000</v>
      </c>
      <c r="H91" s="757" t="s">
        <v>278</v>
      </c>
      <c r="I91" s="775" t="s">
        <v>194</v>
      </c>
      <c r="J91" s="658" t="str">
        <f>VLOOKUP($I91,Prices!A:B,2,0)</f>
        <v>.</v>
      </c>
      <c r="K91" s="790" t="s">
        <v>194</v>
      </c>
      <c r="L91" s="788" t="s">
        <v>194</v>
      </c>
      <c r="M91" s="788" t="s">
        <v>194</v>
      </c>
      <c r="N91" s="708" t="str">
        <f>VLOOKUP($I91,Prices!A:D,4,0)</f>
        <v>.</v>
      </c>
      <c r="O91" s="772" t="s">
        <v>194</v>
      </c>
      <c r="P91" s="793" t="s">
        <v>194</v>
      </c>
      <c r="Q91" s="772">
        <f t="shared" si="7"/>
        <v>5000000</v>
      </c>
      <c r="R91" s="772">
        <f>Q91/VLOOKUP(H91,'Currency Conversion'!B:C,2,0)</f>
        <v>5000000</v>
      </c>
      <c r="S91" s="749" t="s">
        <v>194</v>
      </c>
      <c r="T91" s="757" t="s">
        <v>195</v>
      </c>
      <c r="U91" s="756" t="s">
        <v>312</v>
      </c>
      <c r="V91" s="756" t="s">
        <v>476</v>
      </c>
      <c r="W91" s="756" t="s">
        <v>477</v>
      </c>
      <c r="X91" s="771" t="s">
        <v>194</v>
      </c>
      <c r="Y91" s="759">
        <v>0</v>
      </c>
      <c r="Z91" s="757">
        <v>0</v>
      </c>
      <c r="AA91" s="799" t="s">
        <v>194</v>
      </c>
      <c r="AB91" s="775"/>
      <c r="AC91" s="775"/>
      <c r="AD91" s="775"/>
      <c r="AE91" s="775"/>
      <c r="AF91" s="775"/>
      <c r="AG91" s="775"/>
      <c r="AH91" s="775"/>
      <c r="AI91" s="775"/>
      <c r="AJ91" s="775"/>
      <c r="AK91" s="775"/>
      <c r="AL91" s="775"/>
      <c r="AM91" s="775"/>
      <c r="AN91" s="775"/>
      <c r="AO91" s="775"/>
      <c r="AP91" s="775"/>
    </row>
    <row r="92" spans="1:42" s="141" customFormat="1" ht="57.95" customHeight="1">
      <c r="A92" s="750" t="s">
        <v>478</v>
      </c>
      <c r="B92" s="750" t="s">
        <v>464</v>
      </c>
      <c r="C92" s="751">
        <v>44718</v>
      </c>
      <c r="D92" s="750" t="s">
        <v>190</v>
      </c>
      <c r="E92" s="750" t="s">
        <v>199</v>
      </c>
      <c r="F92" s="752" t="s">
        <v>479</v>
      </c>
      <c r="G92" s="793">
        <v>33000</v>
      </c>
      <c r="H92" s="754" t="s">
        <v>278</v>
      </c>
      <c r="I92" s="750" t="s">
        <v>194</v>
      </c>
      <c r="J92" s="658" t="str">
        <f>VLOOKUP($I92,Prices!A:B,2,0)</f>
        <v>.</v>
      </c>
      <c r="K92" s="790" t="s">
        <v>194</v>
      </c>
      <c r="L92" s="644" t="s">
        <v>194</v>
      </c>
      <c r="M92" s="644" t="s">
        <v>194</v>
      </c>
      <c r="N92" s="644" t="s">
        <v>194</v>
      </c>
      <c r="O92" s="772" t="s">
        <v>194</v>
      </c>
      <c r="P92" s="793" t="s">
        <v>194</v>
      </c>
      <c r="Q92" s="753">
        <f t="shared" si="7"/>
        <v>33000</v>
      </c>
      <c r="R92" s="772">
        <f>Q92/VLOOKUP(H92,'Currency Conversion'!B:C,2,0)</f>
        <v>33000</v>
      </c>
      <c r="S92" s="755" t="s">
        <v>194</v>
      </c>
      <c r="T92" s="754" t="s">
        <v>298</v>
      </c>
      <c r="U92" s="797" t="s">
        <v>480</v>
      </c>
      <c r="V92" s="797" t="s">
        <v>481</v>
      </c>
      <c r="W92" s="797" t="s">
        <v>482</v>
      </c>
      <c r="X92" s="814" t="s">
        <v>194</v>
      </c>
      <c r="Y92" s="754">
        <v>0</v>
      </c>
      <c r="Z92" s="754">
        <v>1</v>
      </c>
      <c r="AA92" s="754" t="s">
        <v>194</v>
      </c>
      <c r="AB92" s="820" t="s">
        <v>21</v>
      </c>
      <c r="AC92" s="820" t="s">
        <v>21</v>
      </c>
      <c r="AD92" s="820" t="s">
        <v>21</v>
      </c>
      <c r="AE92" s="820" t="s">
        <v>21</v>
      </c>
      <c r="AF92" s="820" t="s">
        <v>21</v>
      </c>
      <c r="AG92" s="820" t="s">
        <v>21</v>
      </c>
      <c r="AH92" s="820" t="s">
        <v>21</v>
      </c>
      <c r="AI92" s="820" t="s">
        <v>21</v>
      </c>
      <c r="AJ92" s="820" t="s">
        <v>21</v>
      </c>
      <c r="AK92" s="820" t="s">
        <v>21</v>
      </c>
      <c r="AL92" s="820" t="s">
        <v>21</v>
      </c>
      <c r="AM92" s="820" t="s">
        <v>21</v>
      </c>
      <c r="AN92" s="820" t="s">
        <v>21</v>
      </c>
      <c r="AO92" s="820" t="s">
        <v>21</v>
      </c>
      <c r="AP92" s="775"/>
    </row>
    <row r="93" spans="1:42" ht="48.95" customHeight="1">
      <c r="A93" s="767" t="s">
        <v>483</v>
      </c>
      <c r="B93" s="767" t="s">
        <v>464</v>
      </c>
      <c r="C93" s="768">
        <v>44620</v>
      </c>
      <c r="D93" s="767" t="s">
        <v>212</v>
      </c>
      <c r="E93" s="767" t="s">
        <v>213</v>
      </c>
      <c r="F93" s="787" t="s">
        <v>484</v>
      </c>
      <c r="G93" s="770">
        <v>124000000</v>
      </c>
      <c r="H93" s="761" t="s">
        <v>466</v>
      </c>
      <c r="I93" s="767" t="s">
        <v>194</v>
      </c>
      <c r="J93" s="658" t="str">
        <f>VLOOKUP($I93,Prices!A:B,2,0)</f>
        <v>.</v>
      </c>
      <c r="K93" s="790" t="s">
        <v>194</v>
      </c>
      <c r="L93" s="651" t="s">
        <v>194</v>
      </c>
      <c r="M93" s="651" t="s">
        <v>194</v>
      </c>
      <c r="N93" s="647" t="str">
        <f>VLOOKUP($I93,Prices!A:D,4,0)</f>
        <v>.</v>
      </c>
      <c r="O93" s="772" t="s">
        <v>194</v>
      </c>
      <c r="P93" s="793" t="s">
        <v>194</v>
      </c>
      <c r="Q93" s="769">
        <f t="shared" si="7"/>
        <v>124000000</v>
      </c>
      <c r="R93" s="769">
        <f>Q93/VLOOKUP(H93,'Currency Conversion'!B:C,2,0)</f>
        <v>16477310.477709122</v>
      </c>
      <c r="S93" s="763" t="s">
        <v>194</v>
      </c>
      <c r="T93" s="761" t="s">
        <v>195</v>
      </c>
      <c r="U93" s="756" t="s">
        <v>485</v>
      </c>
      <c r="V93" s="756" t="s">
        <v>486</v>
      </c>
      <c r="W93" s="756" t="s">
        <v>487</v>
      </c>
      <c r="X93" s="771" t="s">
        <v>194</v>
      </c>
      <c r="Y93" s="759">
        <v>0</v>
      </c>
      <c r="Z93" s="761">
        <v>0</v>
      </c>
      <c r="AA93" s="762" t="s">
        <v>488</v>
      </c>
      <c r="AB93" s="767"/>
      <c r="AC93" s="767"/>
      <c r="AD93" s="767"/>
      <c r="AE93" s="767"/>
      <c r="AF93" s="767"/>
      <c r="AG93" s="767"/>
      <c r="AH93" s="767"/>
      <c r="AI93" s="767"/>
      <c r="AJ93" s="767"/>
      <c r="AK93" s="767"/>
      <c r="AL93" s="767"/>
      <c r="AM93" s="767"/>
      <c r="AN93" s="767"/>
      <c r="AO93" s="767"/>
      <c r="AP93" s="767"/>
    </row>
    <row r="94" spans="1:42" s="661" customFormat="1" ht="18" customHeight="1">
      <c r="A94" s="873" t="s">
        <v>489</v>
      </c>
      <c r="B94" s="873" t="s">
        <v>490</v>
      </c>
      <c r="C94" s="874">
        <v>44629</v>
      </c>
      <c r="D94" s="873" t="s">
        <v>190</v>
      </c>
      <c r="E94" s="873" t="s">
        <v>199</v>
      </c>
      <c r="F94" s="884" t="s">
        <v>491</v>
      </c>
      <c r="G94" s="889">
        <v>2000000</v>
      </c>
      <c r="H94" s="878" t="s">
        <v>260</v>
      </c>
      <c r="I94" s="766" t="s">
        <v>492</v>
      </c>
      <c r="J94" s="658">
        <f>VLOOKUP($I94,Prices!A:B,2,0)</f>
        <v>0</v>
      </c>
      <c r="K94" s="790">
        <f>VLOOKUP(I94,Prices!A:C,3,0)</f>
        <v>0</v>
      </c>
      <c r="L94" s="672">
        <v>80</v>
      </c>
      <c r="M94" s="651" t="s">
        <v>194</v>
      </c>
      <c r="N94" s="707">
        <f>VLOOKUP($I94,Prices!A:D,4,0)</f>
        <v>2000</v>
      </c>
      <c r="O94" s="772">
        <f t="shared" si="4"/>
        <v>160000</v>
      </c>
      <c r="P94" s="793" t="s">
        <v>194</v>
      </c>
      <c r="Q94" s="887">
        <f t="shared" ref="Q94" si="8">G94</f>
        <v>2000000</v>
      </c>
      <c r="R94" s="877">
        <f>Q94/VLOOKUP(H94,'Currency Conversion'!B:C,2,0)</f>
        <v>1893939.3939393938</v>
      </c>
      <c r="S94" s="891" t="s">
        <v>194</v>
      </c>
      <c r="T94" s="917" t="s">
        <v>195</v>
      </c>
      <c r="U94" s="854" t="s">
        <v>493</v>
      </c>
      <c r="V94" s="854" t="s">
        <v>494</v>
      </c>
      <c r="W94" s="884" t="s">
        <v>194</v>
      </c>
      <c r="X94" s="896" t="s">
        <v>194</v>
      </c>
      <c r="Y94" s="878">
        <v>0</v>
      </c>
      <c r="Z94" s="878">
        <v>0</v>
      </c>
      <c r="AA94" s="893" t="s">
        <v>194</v>
      </c>
    </row>
    <row r="95" spans="1:42" s="661" customFormat="1" ht="15" customHeight="1">
      <c r="A95" s="873"/>
      <c r="B95" s="873"/>
      <c r="C95" s="873"/>
      <c r="D95" s="873"/>
      <c r="E95" s="873"/>
      <c r="F95" s="884"/>
      <c r="G95" s="889"/>
      <c r="H95" s="878"/>
      <c r="I95" s="766" t="s">
        <v>495</v>
      </c>
      <c r="J95" s="658">
        <f>VLOOKUP($I95,Prices!A:B,2,0)</f>
        <v>0</v>
      </c>
      <c r="K95" s="790">
        <f>VLOOKUP(I95,Prices!A:C,3,0)</f>
        <v>0</v>
      </c>
      <c r="L95" s="672">
        <v>13</v>
      </c>
      <c r="M95" s="651" t="s">
        <v>194</v>
      </c>
      <c r="N95" s="647">
        <f>VLOOKUP($I95,Prices!A:D,4,0)</f>
        <v>10000</v>
      </c>
      <c r="O95" s="772">
        <f t="shared" si="4"/>
        <v>130000</v>
      </c>
      <c r="P95" s="793" t="s">
        <v>194</v>
      </c>
      <c r="Q95" s="887"/>
      <c r="R95" s="877"/>
      <c r="S95" s="891"/>
      <c r="T95" s="917"/>
      <c r="U95" s="854"/>
      <c r="V95" s="854"/>
      <c r="W95" s="884"/>
      <c r="X95" s="896"/>
      <c r="Y95" s="878"/>
      <c r="Z95" s="878"/>
      <c r="AA95" s="893"/>
    </row>
    <row r="96" spans="1:42" s="661" customFormat="1" ht="18" customHeight="1">
      <c r="A96" s="873"/>
      <c r="B96" s="873"/>
      <c r="C96" s="873"/>
      <c r="D96" s="873"/>
      <c r="E96" s="873"/>
      <c r="F96" s="884"/>
      <c r="G96" s="889"/>
      <c r="H96" s="878"/>
      <c r="I96" s="766" t="s">
        <v>496</v>
      </c>
      <c r="J96" s="658">
        <f>VLOOKUP($I96,Prices!A:B,2,0)</f>
        <v>0</v>
      </c>
      <c r="K96" s="790">
        <f>VLOOKUP(I96,Prices!A:C,3,0)</f>
        <v>0</v>
      </c>
      <c r="L96" s="672">
        <v>22500</v>
      </c>
      <c r="M96" s="651" t="s">
        <v>194</v>
      </c>
      <c r="N96" s="707">
        <f>VLOOKUP($I96,Prices!A:D,4,0)</f>
        <v>2</v>
      </c>
      <c r="O96" s="772">
        <f t="shared" si="4"/>
        <v>45000</v>
      </c>
      <c r="P96" s="793" t="s">
        <v>194</v>
      </c>
      <c r="Q96" s="887"/>
      <c r="R96" s="877"/>
      <c r="S96" s="891"/>
      <c r="T96" s="917"/>
      <c r="U96" s="854"/>
      <c r="V96" s="854"/>
      <c r="W96" s="884"/>
      <c r="X96" s="896"/>
      <c r="Y96" s="878"/>
      <c r="Z96" s="878"/>
      <c r="AA96" s="893"/>
    </row>
    <row r="97" spans="1:42" s="661" customFormat="1" ht="83.25" customHeight="1">
      <c r="A97" s="873"/>
      <c r="B97" s="873"/>
      <c r="C97" s="873"/>
      <c r="D97" s="873"/>
      <c r="E97" s="873"/>
      <c r="F97" s="884"/>
      <c r="G97" s="889"/>
      <c r="H97" s="878"/>
      <c r="I97" s="766" t="s">
        <v>497</v>
      </c>
      <c r="J97" s="658">
        <f>VLOOKUP($I97,Prices!A:B,2,0)</f>
        <v>0</v>
      </c>
      <c r="K97" s="790">
        <f>VLOOKUP(I97,Prices!A:C,3,0)</f>
        <v>0</v>
      </c>
      <c r="L97" s="665">
        <v>5000</v>
      </c>
      <c r="M97" s="651" t="s">
        <v>194</v>
      </c>
      <c r="N97" s="647">
        <f>VLOOKUP($I97,Prices!A:D,4,0)</f>
        <v>20</v>
      </c>
      <c r="O97" s="772">
        <f t="shared" si="4"/>
        <v>100000</v>
      </c>
      <c r="P97" s="793" t="s">
        <v>194</v>
      </c>
      <c r="Q97" s="887"/>
      <c r="R97" s="877"/>
      <c r="S97" s="891"/>
      <c r="T97" s="917"/>
      <c r="U97" s="854"/>
      <c r="V97" s="854"/>
      <c r="W97" s="884"/>
      <c r="X97" s="896"/>
      <c r="Y97" s="878"/>
      <c r="Z97" s="878"/>
      <c r="AA97" s="893"/>
    </row>
    <row r="98" spans="1:42" s="661" customFormat="1" ht="93" customHeight="1">
      <c r="A98" s="766" t="s">
        <v>498</v>
      </c>
      <c r="B98" s="766" t="s">
        <v>490</v>
      </c>
      <c r="C98" s="776">
        <v>44715</v>
      </c>
      <c r="D98" s="766" t="s">
        <v>190</v>
      </c>
      <c r="E98" s="766" t="s">
        <v>199</v>
      </c>
      <c r="F98" s="787" t="s">
        <v>499</v>
      </c>
      <c r="G98" s="807">
        <v>500000</v>
      </c>
      <c r="H98" s="759" t="s">
        <v>278</v>
      </c>
      <c r="I98" s="766" t="s">
        <v>194</v>
      </c>
      <c r="J98" s="658" t="str">
        <f>VLOOKUP($I98,Prices!A:B,2,0)</f>
        <v>.</v>
      </c>
      <c r="K98" s="790" t="s">
        <v>194</v>
      </c>
      <c r="L98" s="665" t="s">
        <v>194</v>
      </c>
      <c r="M98" s="651" t="s">
        <v>194</v>
      </c>
      <c r="N98" s="708" t="str">
        <f>VLOOKUP($I98,Prices!A:D,4,0)</f>
        <v>.</v>
      </c>
      <c r="O98" s="772" t="s">
        <v>194</v>
      </c>
      <c r="P98" s="793" t="s">
        <v>194</v>
      </c>
      <c r="Q98" s="769">
        <f>G98</f>
        <v>500000</v>
      </c>
      <c r="R98" s="769">
        <f>Q98/VLOOKUP(H98,'Currency Conversion'!B:C,2,0)</f>
        <v>500000</v>
      </c>
      <c r="S98" s="763" t="s">
        <v>194</v>
      </c>
      <c r="T98" s="786" t="s">
        <v>325</v>
      </c>
      <c r="U98" s="756" t="s">
        <v>500</v>
      </c>
      <c r="V98" s="756" t="s">
        <v>501</v>
      </c>
      <c r="W98" s="787" t="s">
        <v>194</v>
      </c>
      <c r="X98" s="771" t="s">
        <v>194</v>
      </c>
      <c r="Y98" s="759">
        <v>0</v>
      </c>
      <c r="Z98" s="759">
        <v>0</v>
      </c>
      <c r="AA98" s="802" t="s">
        <v>194</v>
      </c>
    </row>
    <row r="99" spans="1:42" s="141" customFormat="1" ht="42" customHeight="1">
      <c r="A99" s="766" t="s">
        <v>502</v>
      </c>
      <c r="B99" s="767" t="s">
        <v>503</v>
      </c>
      <c r="C99" s="768">
        <v>44618</v>
      </c>
      <c r="D99" s="767" t="s">
        <v>212</v>
      </c>
      <c r="E99" s="767" t="s">
        <v>221</v>
      </c>
      <c r="F99" s="789" t="s">
        <v>504</v>
      </c>
      <c r="G99" s="769">
        <v>36600000</v>
      </c>
      <c r="H99" s="761" t="s">
        <v>505</v>
      </c>
      <c r="I99" s="769" t="s">
        <v>194</v>
      </c>
      <c r="J99" s="658" t="str">
        <f>VLOOKUP($I99,Prices!A:B,2,0)</f>
        <v>.</v>
      </c>
      <c r="K99" s="790" t="s">
        <v>194</v>
      </c>
      <c r="L99" s="651" t="s">
        <v>194</v>
      </c>
      <c r="M99" s="651"/>
      <c r="N99" s="647" t="str">
        <f>VLOOKUP($I99,Prices!A:D,4,0)</f>
        <v>.</v>
      </c>
      <c r="O99" s="772" t="s">
        <v>194</v>
      </c>
      <c r="P99" s="793" t="s">
        <v>194</v>
      </c>
      <c r="Q99" s="769">
        <f>G99</f>
        <v>36600000</v>
      </c>
      <c r="R99" s="769">
        <f>Q99/VLOOKUP(H99,'Currency Conversion'!B:C,2,0)</f>
        <v>1480522.6325795881</v>
      </c>
      <c r="S99" s="763">
        <f>R99</f>
        <v>1480522.6325795881</v>
      </c>
      <c r="T99" s="761" t="s">
        <v>325</v>
      </c>
      <c r="U99" s="756" t="s">
        <v>506</v>
      </c>
      <c r="V99" s="756" t="s">
        <v>507</v>
      </c>
      <c r="W99" s="787" t="s">
        <v>194</v>
      </c>
      <c r="X99" s="771" t="s">
        <v>194</v>
      </c>
      <c r="Y99" s="759">
        <v>0</v>
      </c>
      <c r="Z99" s="761">
        <v>0</v>
      </c>
      <c r="AA99" s="758" t="s">
        <v>507</v>
      </c>
      <c r="AB99" s="775"/>
      <c r="AC99" s="775"/>
      <c r="AD99" s="775"/>
      <c r="AE99" s="775"/>
      <c r="AF99" s="775"/>
      <c r="AG99" s="775"/>
      <c r="AH99" s="775"/>
      <c r="AI99" s="775"/>
      <c r="AJ99" s="775"/>
      <c r="AK99" s="775"/>
      <c r="AL99" s="775"/>
      <c r="AM99" s="775"/>
      <c r="AN99" s="775"/>
      <c r="AO99" s="775"/>
      <c r="AP99" s="775"/>
    </row>
    <row r="100" spans="1:42" s="141" customFormat="1" ht="15.75" customHeight="1">
      <c r="A100" s="873" t="s">
        <v>508</v>
      </c>
      <c r="B100" s="879" t="s">
        <v>503</v>
      </c>
      <c r="C100" s="906">
        <v>44618</v>
      </c>
      <c r="D100" s="906" t="s">
        <v>212</v>
      </c>
      <c r="E100" s="906" t="s">
        <v>213</v>
      </c>
      <c r="F100" s="859" t="s">
        <v>509</v>
      </c>
      <c r="G100" s="877">
        <v>188106550</v>
      </c>
      <c r="H100" s="892" t="s">
        <v>505</v>
      </c>
      <c r="I100" s="673" t="s">
        <v>510</v>
      </c>
      <c r="J100" s="658">
        <f>VLOOKUP($I100,Prices!A:B,2,0)</f>
        <v>2</v>
      </c>
      <c r="K100" s="790">
        <f>VLOOKUP(I100,Prices!A:C,3,0)</f>
        <v>0</v>
      </c>
      <c r="L100" s="672">
        <v>150</v>
      </c>
      <c r="M100" s="651">
        <f>L100</f>
        <v>150</v>
      </c>
      <c r="N100" s="707">
        <f>VLOOKUP($I100,Prices!A:D,4,0)</f>
        <v>418.08</v>
      </c>
      <c r="O100" s="772">
        <f t="shared" si="4"/>
        <v>62712</v>
      </c>
      <c r="P100" s="793">
        <f t="shared" si="6"/>
        <v>62712</v>
      </c>
      <c r="Q100" s="877">
        <f>G100</f>
        <v>188106550</v>
      </c>
      <c r="R100" s="877">
        <f>Q100/VLOOKUP(H100,'Currency Conversion'!B:C,2,0)</f>
        <v>7609180.4538651351</v>
      </c>
      <c r="S100" s="891">
        <f>R100</f>
        <v>7609180.4538651351</v>
      </c>
      <c r="T100" s="892" t="s">
        <v>325</v>
      </c>
      <c r="U100" s="931" t="s">
        <v>511</v>
      </c>
      <c r="V100" s="918" t="s">
        <v>194</v>
      </c>
      <c r="W100" s="918" t="s">
        <v>194</v>
      </c>
      <c r="X100" s="906" t="s">
        <v>194</v>
      </c>
      <c r="Y100" s="878">
        <v>0</v>
      </c>
      <c r="Z100" s="888">
        <v>0</v>
      </c>
      <c r="AA100" s="899" t="s">
        <v>511</v>
      </c>
      <c r="AB100" s="775" t="s">
        <v>21</v>
      </c>
      <c r="AC100" s="775" t="s">
        <v>21</v>
      </c>
      <c r="AD100" s="775"/>
      <c r="AE100" s="775"/>
      <c r="AF100" s="775"/>
      <c r="AG100" s="775"/>
      <c r="AH100" s="775"/>
      <c r="AI100" s="775"/>
      <c r="AJ100" s="775"/>
      <c r="AK100" s="775"/>
      <c r="AL100" s="775"/>
      <c r="AM100" s="775"/>
      <c r="AN100" s="775"/>
      <c r="AO100" s="775"/>
      <c r="AP100" s="775"/>
    </row>
    <row r="101" spans="1:42" s="141" customFormat="1" ht="14.25" customHeight="1">
      <c r="A101" s="873"/>
      <c r="B101" s="879"/>
      <c r="C101" s="879"/>
      <c r="D101" s="879"/>
      <c r="E101" s="879"/>
      <c r="F101" s="859"/>
      <c r="G101" s="877"/>
      <c r="H101" s="888"/>
      <c r="I101" s="673" t="s">
        <v>512</v>
      </c>
      <c r="J101" s="658">
        <f>VLOOKUP($I101,Prices!A:B,2,0)</f>
        <v>2</v>
      </c>
      <c r="K101" s="790">
        <f>VLOOKUP(I101,Prices!A:C,3,0)</f>
        <v>1</v>
      </c>
      <c r="L101" s="672">
        <v>5000</v>
      </c>
      <c r="M101" s="651">
        <f t="shared" ref="M101:M111" si="9">L101</f>
        <v>5000</v>
      </c>
      <c r="N101" s="647">
        <f>VLOOKUP($I101,Prices!A:D,4,0)</f>
        <v>1266</v>
      </c>
      <c r="O101" s="772">
        <f t="shared" si="4"/>
        <v>6330000</v>
      </c>
      <c r="P101" s="793">
        <f t="shared" si="6"/>
        <v>6330000</v>
      </c>
      <c r="Q101" s="877"/>
      <c r="R101" s="877"/>
      <c r="S101" s="891"/>
      <c r="T101" s="888"/>
      <c r="U101" s="854"/>
      <c r="V101" s="919"/>
      <c r="W101" s="919"/>
      <c r="X101" s="879"/>
      <c r="Y101" s="878"/>
      <c r="Z101" s="888"/>
      <c r="AA101" s="899"/>
      <c r="AB101" s="775"/>
      <c r="AC101" s="775"/>
      <c r="AD101" s="775"/>
      <c r="AE101" s="775"/>
      <c r="AF101" s="775"/>
      <c r="AG101" s="775"/>
      <c r="AH101" s="775"/>
      <c r="AI101" s="775"/>
      <c r="AJ101" s="775"/>
      <c r="AK101" s="775"/>
      <c r="AL101" s="775"/>
      <c r="AM101" s="775"/>
      <c r="AN101" s="775"/>
      <c r="AO101" s="775"/>
      <c r="AP101" s="775"/>
    </row>
    <row r="102" spans="1:42" s="141" customFormat="1" ht="12.75" customHeight="1">
      <c r="A102" s="873"/>
      <c r="B102" s="879"/>
      <c r="C102" s="879"/>
      <c r="D102" s="879"/>
      <c r="E102" s="879"/>
      <c r="F102" s="859"/>
      <c r="G102" s="877"/>
      <c r="H102" s="888"/>
      <c r="I102" s="673" t="s">
        <v>513</v>
      </c>
      <c r="J102" s="658">
        <f>VLOOKUP($I102,Prices!A:B,2,0)</f>
        <v>2.5</v>
      </c>
      <c r="K102" s="790">
        <f>VLOOKUP(I102,Prices!A:C,3,0)</f>
        <v>1</v>
      </c>
      <c r="L102" s="672">
        <v>500000</v>
      </c>
      <c r="M102" s="651">
        <f t="shared" si="9"/>
        <v>500000</v>
      </c>
      <c r="N102" s="707" t="str">
        <f>VLOOKUP($I102,Prices!A:D,4,0)</f>
        <v>.</v>
      </c>
      <c r="O102" s="772" t="s">
        <v>194</v>
      </c>
      <c r="P102" s="793" t="s">
        <v>194</v>
      </c>
      <c r="Q102" s="877"/>
      <c r="R102" s="877"/>
      <c r="S102" s="891"/>
      <c r="T102" s="888"/>
      <c r="U102" s="854"/>
      <c r="V102" s="919"/>
      <c r="W102" s="919"/>
      <c r="X102" s="879"/>
      <c r="Y102" s="878"/>
      <c r="Z102" s="888"/>
      <c r="AA102" s="899"/>
      <c r="AB102" s="775"/>
      <c r="AC102" s="775"/>
      <c r="AD102" s="775"/>
      <c r="AE102" s="775"/>
      <c r="AF102" s="775"/>
      <c r="AG102" s="775"/>
      <c r="AH102" s="775"/>
      <c r="AI102" s="775"/>
      <c r="AJ102" s="775"/>
      <c r="AK102" s="775"/>
      <c r="AL102" s="775"/>
      <c r="AM102" s="775"/>
      <c r="AN102" s="775"/>
      <c r="AO102" s="775"/>
      <c r="AP102" s="775"/>
    </row>
    <row r="103" spans="1:42" s="141" customFormat="1" ht="13.5" customHeight="1">
      <c r="A103" s="873"/>
      <c r="B103" s="879"/>
      <c r="C103" s="879"/>
      <c r="D103" s="879"/>
      <c r="E103" s="879"/>
      <c r="F103" s="859"/>
      <c r="G103" s="877"/>
      <c r="H103" s="888"/>
      <c r="I103" s="673" t="s">
        <v>514</v>
      </c>
      <c r="J103" s="658">
        <f>VLOOKUP($I103,Prices!A:B,2,0)</f>
        <v>2.5</v>
      </c>
      <c r="K103" s="790">
        <f>VLOOKUP(I103,Prices!A:C,3,0)</f>
        <v>1</v>
      </c>
      <c r="L103" s="672">
        <v>125000</v>
      </c>
      <c r="M103" s="651">
        <f t="shared" si="9"/>
        <v>125000</v>
      </c>
      <c r="N103" s="647" t="str">
        <f>VLOOKUP($I103,Prices!A:D,4,0)</f>
        <v>.</v>
      </c>
      <c r="O103" s="772" t="s">
        <v>194</v>
      </c>
      <c r="P103" s="793" t="s">
        <v>194</v>
      </c>
      <c r="Q103" s="877"/>
      <c r="R103" s="877"/>
      <c r="S103" s="891"/>
      <c r="T103" s="888"/>
      <c r="U103" s="854"/>
      <c r="V103" s="919"/>
      <c r="W103" s="919"/>
      <c r="X103" s="879"/>
      <c r="Y103" s="878"/>
      <c r="Z103" s="888"/>
      <c r="AA103" s="899"/>
      <c r="AB103" s="775"/>
      <c r="AC103" s="775"/>
      <c r="AD103" s="775"/>
      <c r="AE103" s="775"/>
      <c r="AF103" s="775"/>
      <c r="AG103" s="775"/>
      <c r="AH103" s="775"/>
      <c r="AI103" s="775"/>
      <c r="AJ103" s="775"/>
      <c r="AK103" s="775"/>
      <c r="AL103" s="775"/>
      <c r="AM103" s="775"/>
      <c r="AN103" s="775"/>
      <c r="AO103" s="775"/>
      <c r="AP103" s="775"/>
    </row>
    <row r="104" spans="1:42" s="141" customFormat="1" ht="14.25" customHeight="1">
      <c r="A104" s="873"/>
      <c r="B104" s="879"/>
      <c r="C104" s="879"/>
      <c r="D104" s="879"/>
      <c r="E104" s="879"/>
      <c r="F104" s="859"/>
      <c r="G104" s="877"/>
      <c r="H104" s="888"/>
      <c r="I104" s="673" t="s">
        <v>515</v>
      </c>
      <c r="J104" s="658">
        <f>VLOOKUP($I104,Prices!A:B,2,0)</f>
        <v>2</v>
      </c>
      <c r="K104" s="790">
        <f>VLOOKUP(I104,Prices!A:C,3,0)</f>
        <v>1</v>
      </c>
      <c r="L104" s="672">
        <v>2085</v>
      </c>
      <c r="M104" s="651">
        <f t="shared" si="9"/>
        <v>2085</v>
      </c>
      <c r="N104" s="707">
        <f>VLOOKUP($I104,Prices!A:D,4,0)</f>
        <v>1084</v>
      </c>
      <c r="O104" s="772">
        <f t="shared" si="4"/>
        <v>2260140</v>
      </c>
      <c r="P104" s="793">
        <f t="shared" si="6"/>
        <v>2260140</v>
      </c>
      <c r="Q104" s="877"/>
      <c r="R104" s="877"/>
      <c r="S104" s="891"/>
      <c r="T104" s="888"/>
      <c r="U104" s="854"/>
      <c r="V104" s="919"/>
      <c r="W104" s="919"/>
      <c r="X104" s="879"/>
      <c r="Y104" s="878"/>
      <c r="Z104" s="888"/>
      <c r="AA104" s="899"/>
      <c r="AB104" s="775"/>
      <c r="AC104" s="775"/>
      <c r="AD104" s="775"/>
      <c r="AE104" s="775"/>
      <c r="AF104" s="775"/>
      <c r="AG104" s="775"/>
      <c r="AH104" s="775"/>
      <c r="AI104" s="775"/>
      <c r="AJ104" s="775"/>
      <c r="AK104" s="775"/>
      <c r="AL104" s="775"/>
      <c r="AM104" s="775"/>
      <c r="AN104" s="775"/>
      <c r="AO104" s="775"/>
      <c r="AP104" s="775"/>
    </row>
    <row r="105" spans="1:42" s="141" customFormat="1" ht="14.25" customHeight="1">
      <c r="A105" s="873"/>
      <c r="B105" s="879"/>
      <c r="C105" s="879"/>
      <c r="D105" s="879"/>
      <c r="E105" s="879"/>
      <c r="F105" s="859"/>
      <c r="G105" s="877"/>
      <c r="H105" s="888"/>
      <c r="I105" s="673" t="s">
        <v>516</v>
      </c>
      <c r="J105" s="658">
        <f>VLOOKUP($I105,Prices!A:B,2,0)</f>
        <v>2.5</v>
      </c>
      <c r="K105" s="790">
        <f>VLOOKUP(I105,Prices!A:C,3,0)</f>
        <v>0</v>
      </c>
      <c r="L105" s="672">
        <v>1000000</v>
      </c>
      <c r="M105" s="651">
        <f t="shared" si="9"/>
        <v>1000000</v>
      </c>
      <c r="N105" s="647" t="str">
        <f>VLOOKUP($I105,Prices!A:D,4,0)</f>
        <v>.</v>
      </c>
      <c r="O105" s="772" t="s">
        <v>194</v>
      </c>
      <c r="P105" s="793" t="s">
        <v>194</v>
      </c>
      <c r="Q105" s="877"/>
      <c r="R105" s="877"/>
      <c r="S105" s="891"/>
      <c r="T105" s="888"/>
      <c r="U105" s="854"/>
      <c r="V105" s="919"/>
      <c r="W105" s="919"/>
      <c r="X105" s="879"/>
      <c r="Y105" s="878"/>
      <c r="Z105" s="888"/>
      <c r="AA105" s="899"/>
      <c r="AB105" s="775"/>
      <c r="AC105" s="775"/>
      <c r="AD105" s="775"/>
      <c r="AE105" s="775"/>
      <c r="AF105" s="775"/>
      <c r="AG105" s="775"/>
      <c r="AH105" s="775"/>
      <c r="AI105" s="775"/>
      <c r="AJ105" s="775"/>
      <c r="AK105" s="775"/>
      <c r="AL105" s="775"/>
      <c r="AM105" s="775"/>
      <c r="AN105" s="775"/>
      <c r="AO105" s="775"/>
      <c r="AP105" s="775"/>
    </row>
    <row r="106" spans="1:42" s="141" customFormat="1" ht="13.5" customHeight="1">
      <c r="A106" s="873"/>
      <c r="B106" s="879"/>
      <c r="C106" s="879"/>
      <c r="D106" s="879"/>
      <c r="E106" s="879"/>
      <c r="F106" s="859"/>
      <c r="G106" s="877"/>
      <c r="H106" s="888"/>
      <c r="I106" s="673" t="s">
        <v>517</v>
      </c>
      <c r="J106" s="658">
        <f>VLOOKUP($I106,Prices!A:B,2,0)</f>
        <v>2</v>
      </c>
      <c r="K106" s="790">
        <f>VLOOKUP(I106,Prices!A:C,3,0)</f>
        <v>0</v>
      </c>
      <c r="L106" s="672">
        <v>3200</v>
      </c>
      <c r="M106" s="651">
        <f t="shared" si="9"/>
        <v>3200</v>
      </c>
      <c r="N106" s="707">
        <f>VLOOKUP($I106,Prices!A:D,4,0)</f>
        <v>5175</v>
      </c>
      <c r="O106" s="772">
        <f t="shared" si="4"/>
        <v>16560000</v>
      </c>
      <c r="P106" s="793">
        <f t="shared" si="6"/>
        <v>16560000</v>
      </c>
      <c r="Q106" s="877"/>
      <c r="R106" s="877"/>
      <c r="S106" s="891"/>
      <c r="T106" s="888"/>
      <c r="U106" s="854"/>
      <c r="V106" s="919"/>
      <c r="W106" s="919"/>
      <c r="X106" s="879"/>
      <c r="Y106" s="878"/>
      <c r="Z106" s="888"/>
      <c r="AA106" s="899"/>
      <c r="AB106" s="775"/>
      <c r="AC106" s="775"/>
      <c r="AD106" s="775"/>
      <c r="AE106" s="775"/>
      <c r="AF106" s="775"/>
      <c r="AG106" s="775"/>
      <c r="AH106" s="775"/>
      <c r="AI106" s="775"/>
      <c r="AJ106" s="775"/>
      <c r="AK106" s="775"/>
      <c r="AL106" s="775"/>
      <c r="AM106" s="775"/>
      <c r="AN106" s="775"/>
      <c r="AO106" s="775"/>
      <c r="AP106" s="775"/>
    </row>
    <row r="107" spans="1:42" s="141" customFormat="1" ht="14.25" customHeight="1">
      <c r="A107" s="873"/>
      <c r="B107" s="879"/>
      <c r="C107" s="879"/>
      <c r="D107" s="879"/>
      <c r="E107" s="879"/>
      <c r="F107" s="859"/>
      <c r="G107" s="877"/>
      <c r="H107" s="888"/>
      <c r="I107" s="673" t="s">
        <v>518</v>
      </c>
      <c r="J107" s="658">
        <f>VLOOKUP($I107,Prices!A:B,2,0)</f>
        <v>2</v>
      </c>
      <c r="K107" s="790">
        <f>VLOOKUP(I107,Prices!A:C,3,0)</f>
        <v>1</v>
      </c>
      <c r="L107" s="672">
        <v>12</v>
      </c>
      <c r="M107" s="651">
        <f t="shared" si="9"/>
        <v>12</v>
      </c>
      <c r="N107" s="647">
        <f>VLOOKUP($I107,Prices!A:D,4,0)</f>
        <v>2522.4499999999998</v>
      </c>
      <c r="O107" s="772">
        <f t="shared" si="4"/>
        <v>30269.399999999998</v>
      </c>
      <c r="P107" s="793">
        <f t="shared" si="6"/>
        <v>30269.399999999998</v>
      </c>
      <c r="Q107" s="877"/>
      <c r="R107" s="877"/>
      <c r="S107" s="891"/>
      <c r="T107" s="888"/>
      <c r="U107" s="854"/>
      <c r="V107" s="919"/>
      <c r="W107" s="919"/>
      <c r="X107" s="879"/>
      <c r="Y107" s="878"/>
      <c r="Z107" s="888"/>
      <c r="AA107" s="899"/>
      <c r="AB107" s="775"/>
      <c r="AC107" s="775"/>
      <c r="AD107" s="775"/>
      <c r="AE107" s="775"/>
      <c r="AF107" s="775"/>
      <c r="AG107" s="775"/>
      <c r="AH107" s="775"/>
      <c r="AI107" s="775"/>
      <c r="AJ107" s="775"/>
      <c r="AK107" s="775"/>
      <c r="AL107" s="775"/>
      <c r="AM107" s="775"/>
      <c r="AN107" s="775"/>
      <c r="AO107" s="775"/>
      <c r="AP107" s="775"/>
    </row>
    <row r="108" spans="1:42" s="141" customFormat="1" ht="15" customHeight="1">
      <c r="A108" s="873"/>
      <c r="B108" s="879"/>
      <c r="C108" s="879"/>
      <c r="D108" s="879"/>
      <c r="E108" s="879"/>
      <c r="F108" s="859"/>
      <c r="G108" s="877"/>
      <c r="H108" s="888"/>
      <c r="I108" s="673" t="s">
        <v>519</v>
      </c>
      <c r="J108" s="658">
        <f>VLOOKUP($I108,Prices!A:B,2,0)</f>
        <v>2.5</v>
      </c>
      <c r="K108" s="790">
        <f>VLOOKUP(I108,Prices!A:C,3,0)</f>
        <v>1</v>
      </c>
      <c r="L108" s="672">
        <v>1000000</v>
      </c>
      <c r="M108" s="651">
        <f t="shared" si="9"/>
        <v>1000000</v>
      </c>
      <c r="N108" s="707">
        <f>VLOOKUP($I108,Prices!A:D,4,0)</f>
        <v>0.65</v>
      </c>
      <c r="O108" s="772">
        <f t="shared" si="4"/>
        <v>650000</v>
      </c>
      <c r="P108" s="793">
        <f t="shared" si="6"/>
        <v>650000</v>
      </c>
      <c r="Q108" s="877"/>
      <c r="R108" s="877"/>
      <c r="S108" s="891"/>
      <c r="T108" s="888"/>
      <c r="U108" s="854"/>
      <c r="V108" s="919"/>
      <c r="W108" s="919"/>
      <c r="X108" s="879"/>
      <c r="Y108" s="878"/>
      <c r="Z108" s="888"/>
      <c r="AA108" s="899"/>
      <c r="AB108" s="775"/>
      <c r="AC108" s="775"/>
      <c r="AD108" s="775"/>
      <c r="AE108" s="775"/>
      <c r="AF108" s="775"/>
      <c r="AG108" s="775"/>
      <c r="AH108" s="775"/>
      <c r="AI108" s="775"/>
      <c r="AJ108" s="775"/>
      <c r="AK108" s="775"/>
      <c r="AL108" s="775"/>
      <c r="AM108" s="775"/>
      <c r="AN108" s="775"/>
      <c r="AO108" s="775"/>
      <c r="AP108" s="775"/>
    </row>
    <row r="109" spans="1:42" s="141" customFormat="1" ht="14.25" customHeight="1">
      <c r="A109" s="873"/>
      <c r="B109" s="879"/>
      <c r="C109" s="879"/>
      <c r="D109" s="879"/>
      <c r="E109" s="879"/>
      <c r="F109" s="859"/>
      <c r="G109" s="877"/>
      <c r="H109" s="888"/>
      <c r="I109" s="673" t="s">
        <v>520</v>
      </c>
      <c r="J109" s="658">
        <f>VLOOKUP($I109,Prices!A:B,2,0)</f>
        <v>2.5</v>
      </c>
      <c r="K109" s="790">
        <f>VLOOKUP(I109,Prices!A:C,3,0)</f>
        <v>0</v>
      </c>
      <c r="L109" s="672">
        <v>1000000</v>
      </c>
      <c r="M109" s="651">
        <f t="shared" si="9"/>
        <v>1000000</v>
      </c>
      <c r="N109" s="647">
        <f>VLOOKUP($I109,Prices!A:D,4,0)</f>
        <v>0.65</v>
      </c>
      <c r="O109" s="772">
        <f t="shared" si="4"/>
        <v>650000</v>
      </c>
      <c r="P109" s="793">
        <f t="shared" si="6"/>
        <v>650000</v>
      </c>
      <c r="Q109" s="877"/>
      <c r="R109" s="877"/>
      <c r="S109" s="891"/>
      <c r="T109" s="888"/>
      <c r="U109" s="854"/>
      <c r="V109" s="919"/>
      <c r="W109" s="919"/>
      <c r="X109" s="879"/>
      <c r="Y109" s="878"/>
      <c r="Z109" s="888"/>
      <c r="AA109" s="899"/>
      <c r="AB109" s="775"/>
      <c r="AC109" s="775"/>
      <c r="AD109" s="775"/>
      <c r="AE109" s="775"/>
      <c r="AF109" s="775"/>
      <c r="AG109" s="775"/>
      <c r="AH109" s="775"/>
      <c r="AI109" s="775"/>
      <c r="AJ109" s="775"/>
      <c r="AK109" s="775"/>
      <c r="AL109" s="775"/>
      <c r="AM109" s="775"/>
      <c r="AN109" s="775"/>
      <c r="AO109" s="775"/>
      <c r="AP109" s="775"/>
    </row>
    <row r="110" spans="1:42" s="141" customFormat="1" ht="15" customHeight="1">
      <c r="A110" s="873"/>
      <c r="B110" s="879"/>
      <c r="C110" s="879"/>
      <c r="D110" s="879"/>
      <c r="E110" s="879"/>
      <c r="F110" s="859"/>
      <c r="G110" s="877"/>
      <c r="H110" s="888"/>
      <c r="I110" s="673" t="s">
        <v>521</v>
      </c>
      <c r="J110" s="658">
        <f>VLOOKUP($I110,Prices!A:B,2,0)</f>
        <v>2.5</v>
      </c>
      <c r="K110" s="790">
        <f>VLOOKUP(I110,Prices!A:C,3,0)</f>
        <v>0</v>
      </c>
      <c r="L110" s="672">
        <v>150000</v>
      </c>
      <c r="M110" s="651">
        <f t="shared" si="9"/>
        <v>150000</v>
      </c>
      <c r="N110" s="707">
        <f>VLOOKUP($I110,Prices!A:D,4,0)</f>
        <v>0.65</v>
      </c>
      <c r="O110" s="772">
        <f t="shared" si="4"/>
        <v>97500</v>
      </c>
      <c r="P110" s="793">
        <f t="shared" si="6"/>
        <v>97500</v>
      </c>
      <c r="Q110" s="877"/>
      <c r="R110" s="877"/>
      <c r="S110" s="891"/>
      <c r="T110" s="888"/>
      <c r="U110" s="854"/>
      <c r="V110" s="919"/>
      <c r="W110" s="919"/>
      <c r="X110" s="879"/>
      <c r="Y110" s="878"/>
      <c r="Z110" s="888"/>
      <c r="AA110" s="899"/>
      <c r="AB110" s="775"/>
      <c r="AC110" s="775"/>
      <c r="AD110" s="775"/>
      <c r="AE110" s="775"/>
      <c r="AF110" s="775"/>
      <c r="AG110" s="775"/>
      <c r="AH110" s="775"/>
      <c r="AI110" s="775"/>
      <c r="AJ110" s="775"/>
      <c r="AK110" s="775"/>
      <c r="AL110" s="775"/>
      <c r="AM110" s="775"/>
      <c r="AN110" s="775"/>
      <c r="AO110" s="775"/>
      <c r="AP110" s="775"/>
    </row>
    <row r="111" spans="1:42" s="141" customFormat="1" ht="16.5" customHeight="1">
      <c r="A111" s="873"/>
      <c r="B111" s="879"/>
      <c r="C111" s="879"/>
      <c r="D111" s="879"/>
      <c r="E111" s="879"/>
      <c r="F111" s="859"/>
      <c r="G111" s="877"/>
      <c r="H111" s="888"/>
      <c r="I111" s="673" t="s">
        <v>522</v>
      </c>
      <c r="J111" s="658">
        <f>VLOOKUP($I111,Prices!A:B,2,0)</f>
        <v>2</v>
      </c>
      <c r="K111" s="790">
        <f>VLOOKUP(I111,Prices!A:C,3,0)</f>
        <v>1</v>
      </c>
      <c r="L111" s="672">
        <v>19</v>
      </c>
      <c r="M111" s="651">
        <f t="shared" si="9"/>
        <v>19</v>
      </c>
      <c r="N111" s="647">
        <f>VLOOKUP($I111,Prices!A:D,4,0)</f>
        <v>8625</v>
      </c>
      <c r="O111" s="772">
        <f t="shared" si="4"/>
        <v>163875</v>
      </c>
      <c r="P111" s="793">
        <f t="shared" si="6"/>
        <v>163875</v>
      </c>
      <c r="Q111" s="877"/>
      <c r="R111" s="877"/>
      <c r="S111" s="891"/>
      <c r="T111" s="888"/>
      <c r="U111" s="854"/>
      <c r="V111" s="919"/>
      <c r="W111" s="919"/>
      <c r="X111" s="879"/>
      <c r="Y111" s="878"/>
      <c r="Z111" s="888"/>
      <c r="AA111" s="899"/>
      <c r="AB111" s="775"/>
      <c r="AC111" s="775"/>
      <c r="AD111" s="775"/>
      <c r="AE111" s="775"/>
      <c r="AF111" s="775"/>
      <c r="AG111" s="775"/>
      <c r="AH111" s="775"/>
      <c r="AI111" s="775"/>
      <c r="AJ111" s="775"/>
      <c r="AK111" s="775"/>
      <c r="AL111" s="775"/>
      <c r="AM111" s="775"/>
      <c r="AN111" s="775"/>
      <c r="AO111" s="775"/>
      <c r="AP111" s="775"/>
    </row>
    <row r="112" spans="1:42" s="661" customFormat="1" ht="18" customHeight="1">
      <c r="A112" s="873" t="s">
        <v>523</v>
      </c>
      <c r="B112" s="879" t="s">
        <v>503</v>
      </c>
      <c r="C112" s="906">
        <v>44619</v>
      </c>
      <c r="D112" s="906" t="s">
        <v>212</v>
      </c>
      <c r="E112" s="879" t="s">
        <v>213</v>
      </c>
      <c r="F112" s="859" t="s">
        <v>524</v>
      </c>
      <c r="G112" s="877">
        <v>400000000</v>
      </c>
      <c r="H112" s="888" t="s">
        <v>505</v>
      </c>
      <c r="I112" s="769" t="s">
        <v>525</v>
      </c>
      <c r="J112" s="658">
        <f>VLOOKUP($I112,Prices!A:B,2,0)</f>
        <v>3</v>
      </c>
      <c r="K112" s="790">
        <f>VLOOKUP(I112,Prices!A:C,3,0)</f>
        <v>0</v>
      </c>
      <c r="L112" s="651">
        <v>160</v>
      </c>
      <c r="M112" s="651">
        <v>160</v>
      </c>
      <c r="N112" s="707">
        <f>VLOOKUP($I112,Prices!A:D,4,0)</f>
        <v>119000</v>
      </c>
      <c r="O112" s="772">
        <f t="shared" si="4"/>
        <v>19040000</v>
      </c>
      <c r="P112" s="793">
        <f t="shared" si="6"/>
        <v>19040000</v>
      </c>
      <c r="Q112" s="877">
        <f>G112</f>
        <v>400000000</v>
      </c>
      <c r="R112" s="877">
        <f>Q112/VLOOKUP(H112,'Currency Conversion'!B:C,2,0)</f>
        <v>16180575.219449051</v>
      </c>
      <c r="S112" s="891">
        <f>R112</f>
        <v>16180575.219449051</v>
      </c>
      <c r="T112" s="888" t="s">
        <v>195</v>
      </c>
      <c r="U112" s="854" t="s">
        <v>526</v>
      </c>
      <c r="V112" s="854" t="s">
        <v>527</v>
      </c>
      <c r="W112" s="854" t="s">
        <v>528</v>
      </c>
      <c r="X112" s="906" t="s">
        <v>194</v>
      </c>
      <c r="Y112" s="878">
        <v>0</v>
      </c>
      <c r="Z112" s="888">
        <v>0</v>
      </c>
      <c r="AA112" s="899" t="s">
        <v>529</v>
      </c>
      <c r="AB112" s="775"/>
      <c r="AC112" s="775"/>
    </row>
    <row r="113" spans="1:42" s="661" customFormat="1" ht="15.75" customHeight="1">
      <c r="A113" s="873"/>
      <c r="B113" s="879"/>
      <c r="C113" s="906"/>
      <c r="D113" s="906"/>
      <c r="E113" s="879"/>
      <c r="F113" s="859"/>
      <c r="G113" s="877"/>
      <c r="H113" s="888"/>
      <c r="I113" s="769" t="s">
        <v>530</v>
      </c>
      <c r="J113" s="658">
        <f>VLOOKUP($I113,Prices!A:B,2,0)</f>
        <v>2</v>
      </c>
      <c r="K113" s="790">
        <f>VLOOKUP(I113,Prices!A:C,3,0)</f>
        <v>0</v>
      </c>
      <c r="L113" s="651">
        <v>20</v>
      </c>
      <c r="M113" s="651">
        <f>L113</f>
        <v>20</v>
      </c>
      <c r="N113" s="647">
        <f>VLOOKUP($I113,Prices!A:D,4,0)</f>
        <v>5300</v>
      </c>
      <c r="O113" s="772">
        <f t="shared" si="4"/>
        <v>106000</v>
      </c>
      <c r="P113" s="793">
        <f t="shared" si="6"/>
        <v>106000</v>
      </c>
      <c r="Q113" s="877"/>
      <c r="R113" s="877"/>
      <c r="S113" s="891"/>
      <c r="T113" s="888"/>
      <c r="U113" s="854"/>
      <c r="V113" s="854"/>
      <c r="W113" s="854"/>
      <c r="X113" s="879"/>
      <c r="Y113" s="878"/>
      <c r="Z113" s="888"/>
      <c r="AA113" s="899"/>
    </row>
    <row r="114" spans="1:42" s="661" customFormat="1" ht="16.5" customHeight="1">
      <c r="A114" s="873"/>
      <c r="B114" s="879"/>
      <c r="C114" s="906"/>
      <c r="D114" s="906"/>
      <c r="E114" s="879"/>
      <c r="F114" s="859"/>
      <c r="G114" s="877"/>
      <c r="H114" s="888"/>
      <c r="I114" s="769" t="s">
        <v>531</v>
      </c>
      <c r="J114" s="658">
        <f>VLOOKUP($I114,Prices!A:B,2,0)</f>
        <v>2</v>
      </c>
      <c r="K114" s="790">
        <f>VLOOKUP(I114,Prices!A:C,3,0)</f>
        <v>0</v>
      </c>
      <c r="L114" s="651">
        <v>132</v>
      </c>
      <c r="M114" s="651">
        <f t="shared" ref="M114:M117" si="10">L114</f>
        <v>132</v>
      </c>
      <c r="N114" s="707">
        <f>VLOOKUP($I114,Prices!A:D,4,0)</f>
        <v>1500</v>
      </c>
      <c r="O114" s="772">
        <f t="shared" si="4"/>
        <v>198000</v>
      </c>
      <c r="P114" s="793">
        <f t="shared" si="6"/>
        <v>198000</v>
      </c>
      <c r="Q114" s="877"/>
      <c r="R114" s="877"/>
      <c r="S114" s="891"/>
      <c r="T114" s="888"/>
      <c r="U114" s="854"/>
      <c r="V114" s="854"/>
      <c r="W114" s="854"/>
      <c r="X114" s="879"/>
      <c r="Y114" s="878"/>
      <c r="Z114" s="888"/>
      <c r="AA114" s="899"/>
    </row>
    <row r="115" spans="1:42" s="661" customFormat="1" ht="18.75" customHeight="1">
      <c r="A115" s="873"/>
      <c r="B115" s="879"/>
      <c r="C115" s="906"/>
      <c r="D115" s="906"/>
      <c r="E115" s="879"/>
      <c r="F115" s="859"/>
      <c r="G115" s="877"/>
      <c r="H115" s="888"/>
      <c r="I115" s="769" t="s">
        <v>532</v>
      </c>
      <c r="J115" s="658">
        <f>VLOOKUP($I115,Prices!A:B,2,0)</f>
        <v>2</v>
      </c>
      <c r="K115" s="790">
        <f>VLOOKUP(I115,Prices!A:C,3,0)</f>
        <v>0</v>
      </c>
      <c r="L115" s="651">
        <v>70</v>
      </c>
      <c r="M115" s="651">
        <f t="shared" si="10"/>
        <v>70</v>
      </c>
      <c r="N115" s="647">
        <f>VLOOKUP($I115,Prices!A:D,4,0)</f>
        <v>4087</v>
      </c>
      <c r="O115" s="772">
        <f t="shared" si="4"/>
        <v>286090</v>
      </c>
      <c r="P115" s="793">
        <f t="shared" si="6"/>
        <v>286090</v>
      </c>
      <c r="Q115" s="877"/>
      <c r="R115" s="877"/>
      <c r="S115" s="891"/>
      <c r="T115" s="888"/>
      <c r="U115" s="854"/>
      <c r="V115" s="854"/>
      <c r="W115" s="854"/>
      <c r="X115" s="879"/>
      <c r="Y115" s="878"/>
      <c r="Z115" s="888"/>
      <c r="AA115" s="899"/>
    </row>
    <row r="116" spans="1:42" s="661" customFormat="1" ht="15.75" customHeight="1">
      <c r="A116" s="873"/>
      <c r="B116" s="879"/>
      <c r="C116" s="906"/>
      <c r="D116" s="906"/>
      <c r="E116" s="879"/>
      <c r="F116" s="859"/>
      <c r="G116" s="877"/>
      <c r="H116" s="888"/>
      <c r="I116" s="769" t="s">
        <v>533</v>
      </c>
      <c r="J116" s="658">
        <f>VLOOKUP($I116,Prices!A:B,2,0)</f>
        <v>2.5</v>
      </c>
      <c r="K116" s="790">
        <f>VLOOKUP(I116,Prices!A:C,3,0)</f>
        <v>0</v>
      </c>
      <c r="L116" s="651">
        <v>108000</v>
      </c>
      <c r="M116" s="651">
        <f t="shared" si="10"/>
        <v>108000</v>
      </c>
      <c r="N116" s="707">
        <f>VLOOKUP($I116,Prices!A:D,4,0)</f>
        <v>0.44140800000000002</v>
      </c>
      <c r="O116" s="772">
        <f t="shared" si="4"/>
        <v>47672.064000000006</v>
      </c>
      <c r="P116" s="793">
        <f t="shared" si="6"/>
        <v>47672.064000000006</v>
      </c>
      <c r="Q116" s="877"/>
      <c r="R116" s="877"/>
      <c r="S116" s="891"/>
      <c r="T116" s="888"/>
      <c r="U116" s="854"/>
      <c r="V116" s="854"/>
      <c r="W116" s="854"/>
      <c r="X116" s="879"/>
      <c r="Y116" s="878"/>
      <c r="Z116" s="888"/>
      <c r="AA116" s="899"/>
    </row>
    <row r="117" spans="1:42" s="661" customFormat="1" ht="19.5" customHeight="1">
      <c r="A117" s="873"/>
      <c r="B117" s="879"/>
      <c r="C117" s="906"/>
      <c r="D117" s="906"/>
      <c r="E117" s="879"/>
      <c r="F117" s="859"/>
      <c r="G117" s="877"/>
      <c r="H117" s="888"/>
      <c r="I117" s="769" t="s">
        <v>534</v>
      </c>
      <c r="J117" s="658">
        <f>VLOOKUP($I117,Prices!A:B,2,0)</f>
        <v>1</v>
      </c>
      <c r="K117" s="790">
        <f>VLOOKUP(I117,Prices!A:C,3,0)</f>
        <v>0</v>
      </c>
      <c r="L117" s="651">
        <v>1000</v>
      </c>
      <c r="M117" s="651">
        <f t="shared" si="10"/>
        <v>1000</v>
      </c>
      <c r="N117" s="647">
        <f>VLOOKUP($I117,Prices!A:D,4,0)</f>
        <v>60</v>
      </c>
      <c r="O117" s="772">
        <f t="shared" si="4"/>
        <v>60000</v>
      </c>
      <c r="P117" s="793">
        <f t="shared" si="6"/>
        <v>60000</v>
      </c>
      <c r="Q117" s="877"/>
      <c r="R117" s="877"/>
      <c r="S117" s="891"/>
      <c r="T117" s="888"/>
      <c r="U117" s="854"/>
      <c r="V117" s="854"/>
      <c r="W117" s="854"/>
      <c r="X117" s="879"/>
      <c r="Y117" s="878"/>
      <c r="Z117" s="888"/>
      <c r="AA117" s="899"/>
    </row>
    <row r="118" spans="1:42" s="141" customFormat="1" ht="62.25" customHeight="1">
      <c r="A118" s="766" t="s">
        <v>535</v>
      </c>
      <c r="B118" s="767" t="s">
        <v>503</v>
      </c>
      <c r="C118" s="768">
        <v>44623</v>
      </c>
      <c r="D118" s="767" t="s">
        <v>212</v>
      </c>
      <c r="E118" s="767" t="s">
        <v>213</v>
      </c>
      <c r="F118" s="789" t="s">
        <v>536</v>
      </c>
      <c r="G118" s="769">
        <v>17000000</v>
      </c>
      <c r="H118" s="761" t="s">
        <v>505</v>
      </c>
      <c r="I118" s="769" t="s">
        <v>194</v>
      </c>
      <c r="J118" s="658" t="str">
        <f>VLOOKUP($I118,Prices!A:B,2,0)</f>
        <v>.</v>
      </c>
      <c r="K118" s="790" t="s">
        <v>194</v>
      </c>
      <c r="L118" s="651" t="s">
        <v>194</v>
      </c>
      <c r="M118" s="651"/>
      <c r="N118" s="708" t="str">
        <f>VLOOKUP($I118,Prices!A:D,4,0)</f>
        <v>.</v>
      </c>
      <c r="O118" s="772" t="s">
        <v>194</v>
      </c>
      <c r="P118" s="793" t="s">
        <v>194</v>
      </c>
      <c r="Q118" s="769">
        <f>G118</f>
        <v>17000000</v>
      </c>
      <c r="R118" s="769">
        <f>Q118/VLOOKUP(H118,'Currency Conversion'!B:C,2,0)</f>
        <v>687674.44682658464</v>
      </c>
      <c r="S118" s="763">
        <f t="shared" ref="S118:S124" si="11">R118</f>
        <v>687674.44682658464</v>
      </c>
      <c r="T118" s="761" t="s">
        <v>195</v>
      </c>
      <c r="U118" s="756" t="s">
        <v>537</v>
      </c>
      <c r="V118" s="756" t="s">
        <v>538</v>
      </c>
      <c r="W118" s="787" t="s">
        <v>194</v>
      </c>
      <c r="X118" s="771" t="s">
        <v>194</v>
      </c>
      <c r="Y118" s="759">
        <v>0</v>
      </c>
      <c r="Z118" s="761">
        <v>0</v>
      </c>
      <c r="AA118" s="758" t="s">
        <v>529</v>
      </c>
      <c r="AB118" s="775"/>
      <c r="AC118" s="775"/>
      <c r="AD118" s="775"/>
      <c r="AE118" s="775"/>
      <c r="AF118" s="775"/>
      <c r="AG118" s="775"/>
      <c r="AH118" s="775"/>
      <c r="AI118" s="775"/>
      <c r="AJ118" s="775"/>
      <c r="AK118" s="775"/>
      <c r="AL118" s="775"/>
      <c r="AM118" s="775"/>
      <c r="AN118" s="775"/>
      <c r="AO118" s="775"/>
      <c r="AP118" s="775"/>
    </row>
    <row r="119" spans="1:42" s="141" customFormat="1" ht="63" customHeight="1">
      <c r="A119" s="766" t="s">
        <v>539</v>
      </c>
      <c r="B119" s="767" t="s">
        <v>503</v>
      </c>
      <c r="C119" s="768">
        <v>44629</v>
      </c>
      <c r="D119" s="767" t="s">
        <v>212</v>
      </c>
      <c r="E119" s="767" t="s">
        <v>213</v>
      </c>
      <c r="F119" s="789" t="s">
        <v>540</v>
      </c>
      <c r="G119" s="769">
        <v>31500000</v>
      </c>
      <c r="H119" s="761" t="s">
        <v>260</v>
      </c>
      <c r="I119" s="769" t="s">
        <v>194</v>
      </c>
      <c r="J119" s="658" t="str">
        <f>VLOOKUP($I119,Prices!A:B,2,0)</f>
        <v>.</v>
      </c>
      <c r="K119" s="790" t="s">
        <v>194</v>
      </c>
      <c r="L119" s="651" t="s">
        <v>194</v>
      </c>
      <c r="M119" s="651"/>
      <c r="N119" s="647" t="str">
        <f>VLOOKUP($I119,Prices!A:D,4,0)</f>
        <v>.</v>
      </c>
      <c r="O119" s="772" t="s">
        <v>194</v>
      </c>
      <c r="P119" s="793" t="s">
        <v>194</v>
      </c>
      <c r="Q119" s="769">
        <f>G119</f>
        <v>31500000</v>
      </c>
      <c r="R119" s="769">
        <f>Q119/VLOOKUP(H119,'Currency Conversion'!B:C,2,0)</f>
        <v>29829545.454545453</v>
      </c>
      <c r="S119" s="763">
        <f t="shared" si="11"/>
        <v>29829545.454545453</v>
      </c>
      <c r="T119" s="761" t="s">
        <v>298</v>
      </c>
      <c r="U119" s="756" t="s">
        <v>541</v>
      </c>
      <c r="V119" s="756" t="s">
        <v>542</v>
      </c>
      <c r="W119" s="756" t="s">
        <v>543</v>
      </c>
      <c r="X119" s="771" t="s">
        <v>194</v>
      </c>
      <c r="Y119" s="759">
        <v>0</v>
      </c>
      <c r="Z119" s="761">
        <v>0</v>
      </c>
      <c r="AA119" s="758" t="s">
        <v>529</v>
      </c>
      <c r="AB119" s="775"/>
      <c r="AC119" s="775"/>
      <c r="AD119" s="775"/>
      <c r="AE119" s="775"/>
      <c r="AF119" s="775"/>
      <c r="AG119" s="775"/>
      <c r="AH119" s="775"/>
      <c r="AI119" s="775"/>
      <c r="AJ119" s="775"/>
      <c r="AK119" s="775"/>
      <c r="AL119" s="775"/>
      <c r="AM119" s="775"/>
      <c r="AN119" s="775"/>
      <c r="AO119" s="775"/>
      <c r="AP119" s="775"/>
    </row>
    <row r="120" spans="1:42" s="141" customFormat="1" ht="76.5" customHeight="1">
      <c r="A120" s="766" t="s">
        <v>544</v>
      </c>
      <c r="B120" s="767" t="s">
        <v>503</v>
      </c>
      <c r="C120" s="768">
        <v>44629</v>
      </c>
      <c r="D120" s="767" t="s">
        <v>212</v>
      </c>
      <c r="E120" s="767" t="s">
        <v>221</v>
      </c>
      <c r="F120" s="789" t="s">
        <v>545</v>
      </c>
      <c r="G120" s="769">
        <v>24000000</v>
      </c>
      <c r="H120" s="761" t="s">
        <v>505</v>
      </c>
      <c r="I120" s="769" t="s">
        <v>194</v>
      </c>
      <c r="J120" s="658" t="str">
        <f>VLOOKUP($I120,Prices!A:B,2,0)</f>
        <v>.</v>
      </c>
      <c r="K120" s="790" t="s">
        <v>194</v>
      </c>
      <c r="L120" s="651" t="s">
        <v>194</v>
      </c>
      <c r="M120" s="651"/>
      <c r="N120" s="708" t="str">
        <f>VLOOKUP($I120,Prices!A:D,4,0)</f>
        <v>.</v>
      </c>
      <c r="O120" s="772" t="s">
        <v>194</v>
      </c>
      <c r="P120" s="793" t="s">
        <v>194</v>
      </c>
      <c r="Q120" s="769">
        <f>G120</f>
        <v>24000000</v>
      </c>
      <c r="R120" s="769">
        <f>Q120/VLOOKUP(H120,'Currency Conversion'!B:C,2,0)</f>
        <v>970834.5131669431</v>
      </c>
      <c r="S120" s="763">
        <f t="shared" si="11"/>
        <v>970834.5131669431</v>
      </c>
      <c r="T120" s="761" t="s">
        <v>240</v>
      </c>
      <c r="U120" s="756" t="s">
        <v>546</v>
      </c>
      <c r="V120" s="810" t="s">
        <v>194</v>
      </c>
      <c r="W120" s="810" t="s">
        <v>194</v>
      </c>
      <c r="X120" s="771" t="s">
        <v>194</v>
      </c>
      <c r="Y120" s="759">
        <v>0</v>
      </c>
      <c r="Z120" s="761">
        <v>0</v>
      </c>
      <c r="AA120" s="758" t="s">
        <v>529</v>
      </c>
      <c r="AB120" s="775"/>
      <c r="AC120" s="775"/>
      <c r="AD120" s="775"/>
      <c r="AE120" s="775"/>
      <c r="AF120" s="775"/>
      <c r="AG120" s="775"/>
      <c r="AH120" s="775"/>
      <c r="AI120" s="775"/>
      <c r="AJ120" s="775"/>
      <c r="AK120" s="775"/>
      <c r="AL120" s="775"/>
      <c r="AM120" s="775"/>
      <c r="AN120" s="775"/>
      <c r="AO120" s="775"/>
      <c r="AP120" s="775"/>
    </row>
    <row r="121" spans="1:42" s="141" customFormat="1" ht="107.45" customHeight="1">
      <c r="A121" s="766" t="s">
        <v>547</v>
      </c>
      <c r="B121" s="767" t="s">
        <v>503</v>
      </c>
      <c r="C121" s="768">
        <v>44630</v>
      </c>
      <c r="D121" s="767" t="s">
        <v>212</v>
      </c>
      <c r="E121" s="767" t="s">
        <v>221</v>
      </c>
      <c r="F121" s="789" t="s">
        <v>548</v>
      </c>
      <c r="G121" s="769" t="s">
        <v>259</v>
      </c>
      <c r="H121" s="761" t="s">
        <v>260</v>
      </c>
      <c r="I121" s="769" t="s">
        <v>348</v>
      </c>
      <c r="J121" s="658">
        <f>VLOOKUP($I121,Prices!A:B,2,0)</f>
        <v>1</v>
      </c>
      <c r="K121" s="790">
        <f>VLOOKUP(I121,Prices!A:C,3,0)</f>
        <v>0</v>
      </c>
      <c r="L121" s="651">
        <v>22</v>
      </c>
      <c r="M121" s="651" t="s">
        <v>194</v>
      </c>
      <c r="N121" s="647">
        <f>VLOOKUP($I121,Prices!A:D,4,0)</f>
        <v>500</v>
      </c>
      <c r="O121" s="772">
        <f>$L121*$N121</f>
        <v>11000</v>
      </c>
      <c r="P121" s="793" t="s">
        <v>194</v>
      </c>
      <c r="Q121" s="769">
        <f>O121</f>
        <v>11000</v>
      </c>
      <c r="R121" s="769">
        <f>Q121/VLOOKUP(H121,'Currency Conversion'!B:C,2,0)</f>
        <v>10416.666666666666</v>
      </c>
      <c r="S121" s="763">
        <f t="shared" si="11"/>
        <v>10416.666666666666</v>
      </c>
      <c r="T121" s="761" t="s">
        <v>240</v>
      </c>
      <c r="U121" s="756" t="s">
        <v>546</v>
      </c>
      <c r="V121" s="810" t="s">
        <v>194</v>
      </c>
      <c r="W121" s="810" t="s">
        <v>194</v>
      </c>
      <c r="X121" s="771" t="s">
        <v>194</v>
      </c>
      <c r="Y121" s="759">
        <v>0</v>
      </c>
      <c r="Z121" s="761">
        <v>0</v>
      </c>
      <c r="AA121" s="762" t="s">
        <v>529</v>
      </c>
      <c r="AB121" s="775"/>
      <c r="AC121" s="775"/>
      <c r="AD121" s="775"/>
      <c r="AE121" s="775"/>
      <c r="AF121" s="775"/>
      <c r="AG121" s="775"/>
      <c r="AH121" s="775"/>
      <c r="AI121" s="775"/>
      <c r="AJ121" s="775"/>
      <c r="AK121" s="775"/>
      <c r="AL121" s="775"/>
      <c r="AM121" s="775"/>
      <c r="AN121" s="775"/>
      <c r="AO121" s="775"/>
      <c r="AP121" s="775"/>
    </row>
    <row r="122" spans="1:42" s="141" customFormat="1" ht="111" customHeight="1">
      <c r="A122" s="766" t="s">
        <v>549</v>
      </c>
      <c r="B122" s="767" t="s">
        <v>503</v>
      </c>
      <c r="C122" s="768" t="s">
        <v>550</v>
      </c>
      <c r="D122" s="767" t="s">
        <v>212</v>
      </c>
      <c r="E122" s="767" t="s">
        <v>221</v>
      </c>
      <c r="F122" s="789" t="s">
        <v>551</v>
      </c>
      <c r="G122" s="769">
        <v>53260000</v>
      </c>
      <c r="H122" s="761" t="s">
        <v>505</v>
      </c>
      <c r="I122" s="769" t="s">
        <v>194</v>
      </c>
      <c r="J122" s="658" t="str">
        <f>VLOOKUP($I122,Prices!A:B,2,0)</f>
        <v>.</v>
      </c>
      <c r="K122" s="790" t="s">
        <v>194</v>
      </c>
      <c r="L122" s="651" t="s">
        <v>194</v>
      </c>
      <c r="M122" s="651"/>
      <c r="N122" s="708" t="str">
        <f>VLOOKUP($I122,Prices!A:D,4,0)</f>
        <v>.</v>
      </c>
      <c r="O122" s="772" t="s">
        <v>194</v>
      </c>
      <c r="P122" s="793" t="s">
        <v>194</v>
      </c>
      <c r="Q122" s="769">
        <f>G122</f>
        <v>53260000</v>
      </c>
      <c r="R122" s="769">
        <f>Q122/VLOOKUP(H122,'Currency Conversion'!B:C,2,0)</f>
        <v>2154443.5904696411</v>
      </c>
      <c r="S122" s="763">
        <f t="shared" si="11"/>
        <v>2154443.5904696411</v>
      </c>
      <c r="T122" s="761" t="s">
        <v>240</v>
      </c>
      <c r="U122" s="756" t="s">
        <v>546</v>
      </c>
      <c r="V122" s="810" t="s">
        <v>194</v>
      </c>
      <c r="W122" s="810" t="s">
        <v>194</v>
      </c>
      <c r="X122" s="771" t="s">
        <v>194</v>
      </c>
      <c r="Y122" s="759">
        <v>0</v>
      </c>
      <c r="Z122" s="761">
        <v>0</v>
      </c>
      <c r="AA122" s="762" t="s">
        <v>529</v>
      </c>
      <c r="AB122" s="775"/>
      <c r="AC122" s="775"/>
      <c r="AD122" s="775"/>
      <c r="AE122" s="775"/>
      <c r="AF122" s="775"/>
      <c r="AG122" s="775"/>
      <c r="AH122" s="775"/>
      <c r="AI122" s="775"/>
      <c r="AJ122" s="775"/>
      <c r="AK122" s="775"/>
      <c r="AL122" s="775"/>
      <c r="AM122" s="775"/>
      <c r="AN122" s="775"/>
      <c r="AO122" s="775"/>
      <c r="AP122" s="775"/>
    </row>
    <row r="123" spans="1:42" s="141" customFormat="1" ht="111.95" customHeight="1">
      <c r="A123" s="766" t="s">
        <v>552</v>
      </c>
      <c r="B123" s="767" t="s">
        <v>503</v>
      </c>
      <c r="C123" s="768" t="s">
        <v>553</v>
      </c>
      <c r="D123" s="767" t="s">
        <v>212</v>
      </c>
      <c r="E123" s="767" t="s">
        <v>221</v>
      </c>
      <c r="F123" s="789" t="s">
        <v>554</v>
      </c>
      <c r="G123" s="769">
        <v>30000000</v>
      </c>
      <c r="H123" s="761" t="s">
        <v>505</v>
      </c>
      <c r="I123" s="769" t="s">
        <v>194</v>
      </c>
      <c r="J123" s="658" t="str">
        <f>VLOOKUP($I123,Prices!A:B,2,0)</f>
        <v>.</v>
      </c>
      <c r="K123" s="790" t="s">
        <v>194</v>
      </c>
      <c r="L123" s="651" t="s">
        <v>194</v>
      </c>
      <c r="M123" s="651" t="s">
        <v>194</v>
      </c>
      <c r="N123" s="647" t="str">
        <f>VLOOKUP($I123,Prices!A:D,4,0)</f>
        <v>.</v>
      </c>
      <c r="O123" s="772" t="s">
        <v>194</v>
      </c>
      <c r="P123" s="793" t="s">
        <v>194</v>
      </c>
      <c r="Q123" s="769">
        <f>G123</f>
        <v>30000000</v>
      </c>
      <c r="R123" s="769">
        <f>Q123/VLOOKUP(H123,'Currency Conversion'!B:C,2,0)</f>
        <v>1213543.1414586788</v>
      </c>
      <c r="S123" s="763">
        <f t="shared" si="11"/>
        <v>1213543.1414586788</v>
      </c>
      <c r="T123" s="761" t="s">
        <v>240</v>
      </c>
      <c r="U123" s="756" t="s">
        <v>555</v>
      </c>
      <c r="V123" s="756" t="s">
        <v>546</v>
      </c>
      <c r="W123" s="810" t="s">
        <v>194</v>
      </c>
      <c r="X123" s="771" t="s">
        <v>194</v>
      </c>
      <c r="Y123" s="759">
        <v>0</v>
      </c>
      <c r="Z123" s="761">
        <v>0</v>
      </c>
      <c r="AA123" s="762" t="s">
        <v>529</v>
      </c>
      <c r="AB123" s="775"/>
      <c r="AC123" s="775"/>
      <c r="AD123" s="775"/>
      <c r="AE123" s="775"/>
      <c r="AF123" s="775"/>
      <c r="AG123" s="775"/>
      <c r="AH123" s="775"/>
      <c r="AI123" s="775"/>
      <c r="AJ123" s="775"/>
      <c r="AK123" s="775"/>
      <c r="AL123" s="775"/>
      <c r="AM123" s="775"/>
      <c r="AN123" s="775"/>
      <c r="AO123" s="775"/>
      <c r="AP123" s="775"/>
    </row>
    <row r="124" spans="1:42" s="141" customFormat="1" ht="87.6" customHeight="1">
      <c r="A124" s="766" t="s">
        <v>556</v>
      </c>
      <c r="B124" s="767" t="s">
        <v>503</v>
      </c>
      <c r="C124" s="768" t="s">
        <v>553</v>
      </c>
      <c r="D124" s="767" t="s">
        <v>212</v>
      </c>
      <c r="E124" s="767" t="s">
        <v>221</v>
      </c>
      <c r="F124" s="789" t="s">
        <v>557</v>
      </c>
      <c r="G124" s="769">
        <v>4500000</v>
      </c>
      <c r="H124" s="761" t="s">
        <v>505</v>
      </c>
      <c r="I124" s="769" t="s">
        <v>558</v>
      </c>
      <c r="J124" s="658">
        <f>VLOOKUP($I124,Prices!A:B,2,0)</f>
        <v>0</v>
      </c>
      <c r="K124" s="790">
        <f>VLOOKUP(I124,Prices!A:C,3,0)</f>
        <v>0</v>
      </c>
      <c r="L124" s="651">
        <v>6</v>
      </c>
      <c r="M124" s="651" t="s">
        <v>194</v>
      </c>
      <c r="N124" s="707">
        <f>VLOOKUP($I124,Prices!A:D,4,0)</f>
        <v>400000</v>
      </c>
      <c r="O124" s="772">
        <f t="shared" si="4"/>
        <v>2400000</v>
      </c>
      <c r="P124" s="793" t="s">
        <v>194</v>
      </c>
      <c r="Q124" s="769">
        <f>G124</f>
        <v>4500000</v>
      </c>
      <c r="R124" s="769">
        <f>Q124/VLOOKUP(H124,'Currency Conversion'!B:C,2,0)</f>
        <v>182031.47121880183</v>
      </c>
      <c r="S124" s="763">
        <f t="shared" si="11"/>
        <v>182031.47121880183</v>
      </c>
      <c r="T124" s="761" t="s">
        <v>240</v>
      </c>
      <c r="U124" s="756" t="s">
        <v>546</v>
      </c>
      <c r="V124" s="810" t="s">
        <v>194</v>
      </c>
      <c r="W124" s="810" t="s">
        <v>194</v>
      </c>
      <c r="X124" s="771" t="s">
        <v>194</v>
      </c>
      <c r="Y124" s="759">
        <v>0</v>
      </c>
      <c r="Z124" s="761">
        <v>0</v>
      </c>
      <c r="AA124" s="762" t="s">
        <v>529</v>
      </c>
      <c r="AB124" s="775"/>
      <c r="AC124" s="775"/>
      <c r="AD124" s="775"/>
      <c r="AE124" s="775"/>
      <c r="AF124" s="775"/>
      <c r="AG124" s="775"/>
      <c r="AH124" s="775"/>
      <c r="AI124" s="775"/>
      <c r="AJ124" s="775"/>
      <c r="AK124" s="775"/>
      <c r="AL124" s="775"/>
      <c r="AM124" s="775"/>
      <c r="AN124" s="775"/>
      <c r="AO124" s="775"/>
      <c r="AP124" s="775"/>
    </row>
    <row r="125" spans="1:42" s="141" customFormat="1" ht="168.95" customHeight="1">
      <c r="A125" s="766" t="s">
        <v>559</v>
      </c>
      <c r="B125" s="767" t="s">
        <v>503</v>
      </c>
      <c r="C125" s="768">
        <v>44643</v>
      </c>
      <c r="D125" s="767" t="s">
        <v>212</v>
      </c>
      <c r="E125" s="767" t="s">
        <v>213</v>
      </c>
      <c r="F125" s="789" t="s">
        <v>560</v>
      </c>
      <c r="G125" s="769" t="s">
        <v>259</v>
      </c>
      <c r="H125" s="761" t="s">
        <v>194</v>
      </c>
      <c r="I125" s="769" t="s">
        <v>194</v>
      </c>
      <c r="J125" s="658" t="str">
        <f>VLOOKUP($I125,Prices!A:B,2,0)</f>
        <v>.</v>
      </c>
      <c r="K125" s="790" t="s">
        <v>194</v>
      </c>
      <c r="L125" s="651" t="s">
        <v>194</v>
      </c>
      <c r="M125" s="651" t="s">
        <v>194</v>
      </c>
      <c r="N125" s="647" t="str">
        <f>VLOOKUP($I125,Prices!A:D,4,0)</f>
        <v>.</v>
      </c>
      <c r="O125" s="772" t="s">
        <v>194</v>
      </c>
      <c r="P125" s="793" t="s">
        <v>194</v>
      </c>
      <c r="Q125" s="769" t="s">
        <v>194</v>
      </c>
      <c r="R125" s="769" t="s">
        <v>194</v>
      </c>
      <c r="S125" s="763" t="s">
        <v>194</v>
      </c>
      <c r="T125" s="761" t="s">
        <v>298</v>
      </c>
      <c r="U125" s="756" t="s">
        <v>541</v>
      </c>
      <c r="V125" s="756" t="s">
        <v>546</v>
      </c>
      <c r="W125" s="810" t="s">
        <v>194</v>
      </c>
      <c r="X125" s="771" t="s">
        <v>194</v>
      </c>
      <c r="Y125" s="759">
        <v>0</v>
      </c>
      <c r="Z125" s="761">
        <v>0</v>
      </c>
      <c r="AA125" s="802" t="s">
        <v>194</v>
      </c>
      <c r="AB125" s="775"/>
      <c r="AC125" s="775"/>
      <c r="AD125" s="775"/>
      <c r="AE125" s="775"/>
      <c r="AF125" s="775"/>
      <c r="AG125" s="775"/>
      <c r="AH125" s="775"/>
      <c r="AI125" s="775"/>
      <c r="AJ125" s="775"/>
      <c r="AK125" s="775"/>
      <c r="AL125" s="775"/>
      <c r="AM125" s="775"/>
      <c r="AN125" s="775"/>
      <c r="AO125" s="775"/>
      <c r="AP125" s="775"/>
    </row>
    <row r="126" spans="1:42" s="141" customFormat="1" ht="111.6" customHeight="1">
      <c r="A126" s="766" t="s">
        <v>561</v>
      </c>
      <c r="B126" s="767" t="s">
        <v>503</v>
      </c>
      <c r="C126" s="768">
        <v>44650</v>
      </c>
      <c r="D126" s="767" t="s">
        <v>212</v>
      </c>
      <c r="E126" s="767" t="s">
        <v>221</v>
      </c>
      <c r="F126" s="789" t="s">
        <v>562</v>
      </c>
      <c r="G126" s="769">
        <v>857000</v>
      </c>
      <c r="H126" s="761" t="s">
        <v>505</v>
      </c>
      <c r="I126" s="769" t="s">
        <v>348</v>
      </c>
      <c r="J126" s="658">
        <f>VLOOKUP($I126,Prices!A:B,2,0)</f>
        <v>1</v>
      </c>
      <c r="K126" s="790">
        <f>VLOOKUP(I126,Prices!A:C,3,0)</f>
        <v>0</v>
      </c>
      <c r="L126" s="651">
        <v>52</v>
      </c>
      <c r="M126" s="651" t="s">
        <v>194</v>
      </c>
      <c r="N126" s="707">
        <f>VLOOKUP($I126,Prices!A:D,4,0)</f>
        <v>500</v>
      </c>
      <c r="O126" s="772">
        <f t="shared" si="4"/>
        <v>26000</v>
      </c>
      <c r="P126" s="793" t="s">
        <v>194</v>
      </c>
      <c r="Q126" s="769">
        <f>G126</f>
        <v>857000</v>
      </c>
      <c r="R126" s="769">
        <f>Q126/VLOOKUP(H126,'Currency Conversion'!B:C,2,0)</f>
        <v>34666.882407669589</v>
      </c>
      <c r="S126" s="763">
        <f>R126</f>
        <v>34666.882407669589</v>
      </c>
      <c r="T126" s="761" t="s">
        <v>195</v>
      </c>
      <c r="U126" s="756" t="s">
        <v>546</v>
      </c>
      <c r="V126" s="810" t="s">
        <v>194</v>
      </c>
      <c r="W126" s="810" t="s">
        <v>194</v>
      </c>
      <c r="X126" s="771" t="s">
        <v>194</v>
      </c>
      <c r="Y126" s="759">
        <v>0</v>
      </c>
      <c r="Z126" s="761">
        <v>0</v>
      </c>
      <c r="AA126" s="762" t="s">
        <v>529</v>
      </c>
      <c r="AB126" s="775"/>
      <c r="AC126" s="775"/>
      <c r="AD126" s="775"/>
      <c r="AE126" s="775"/>
      <c r="AF126" s="775"/>
      <c r="AG126" s="775"/>
      <c r="AH126" s="775"/>
      <c r="AI126" s="775"/>
      <c r="AJ126" s="775"/>
      <c r="AK126" s="775"/>
      <c r="AL126" s="775"/>
      <c r="AM126" s="775"/>
      <c r="AN126" s="775"/>
      <c r="AO126" s="775"/>
      <c r="AP126" s="775"/>
    </row>
    <row r="127" spans="1:42" s="141" customFormat="1" ht="22.5" customHeight="1">
      <c r="A127" s="750" t="s">
        <v>563</v>
      </c>
      <c r="B127" s="750" t="s">
        <v>503</v>
      </c>
      <c r="C127" s="751">
        <v>44652</v>
      </c>
      <c r="D127" s="750" t="s">
        <v>212</v>
      </c>
      <c r="E127" s="750" t="s">
        <v>191</v>
      </c>
      <c r="F127" s="789" t="s">
        <v>564</v>
      </c>
      <c r="G127" s="753" t="s">
        <v>201</v>
      </c>
      <c r="H127" s="754" t="s">
        <v>194</v>
      </c>
      <c r="I127" s="750" t="s">
        <v>194</v>
      </c>
      <c r="J127" s="658" t="str">
        <f>VLOOKUP($I127,Prices!A:B,2,0)</f>
        <v>.</v>
      </c>
      <c r="K127" s="790">
        <f>VLOOKUP(I127,Prices!A:C,3,0)</f>
        <v>0</v>
      </c>
      <c r="L127" s="644" t="s">
        <v>21</v>
      </c>
      <c r="M127" s="644" t="s">
        <v>194</v>
      </c>
      <c r="N127" s="707" t="str">
        <f>VLOOKUP($I127,Prices!A:D,4,0)</f>
        <v>.</v>
      </c>
      <c r="O127" s="772" t="s">
        <v>194</v>
      </c>
      <c r="P127" s="793" t="s">
        <v>194</v>
      </c>
      <c r="Q127" s="753" t="s">
        <v>194</v>
      </c>
      <c r="R127" s="769" t="s">
        <v>194</v>
      </c>
      <c r="S127" s="755" t="s">
        <v>194</v>
      </c>
      <c r="T127" s="754" t="s">
        <v>194</v>
      </c>
      <c r="U127" s="756" t="s">
        <v>565</v>
      </c>
      <c r="V127" s="805" t="s">
        <v>194</v>
      </c>
      <c r="W127" s="805" t="s">
        <v>194</v>
      </c>
      <c r="X127" s="814" t="s">
        <v>21</v>
      </c>
      <c r="Y127" s="754">
        <v>0</v>
      </c>
      <c r="Z127" s="754">
        <v>1</v>
      </c>
      <c r="AA127" s="685" t="s">
        <v>194</v>
      </c>
      <c r="AB127" s="614" t="s">
        <v>21</v>
      </c>
      <c r="AC127" s="614" t="s">
        <v>21</v>
      </c>
      <c r="AD127" s="614" t="s">
        <v>21</v>
      </c>
      <c r="AE127" s="614" t="s">
        <v>21</v>
      </c>
      <c r="AF127" s="614" t="s">
        <v>21</v>
      </c>
      <c r="AG127" s="614" t="s">
        <v>21</v>
      </c>
      <c r="AH127" s="614" t="s">
        <v>21</v>
      </c>
      <c r="AI127" s="614" t="s">
        <v>21</v>
      </c>
      <c r="AJ127" s="614" t="s">
        <v>21</v>
      </c>
      <c r="AK127" s="614" t="s">
        <v>21</v>
      </c>
      <c r="AL127" s="614" t="s">
        <v>21</v>
      </c>
      <c r="AM127" s="614" t="s">
        <v>21</v>
      </c>
      <c r="AN127" s="614" t="s">
        <v>21</v>
      </c>
      <c r="AO127" s="614" t="s">
        <v>21</v>
      </c>
      <c r="AP127" s="775"/>
    </row>
    <row r="128" spans="1:42" s="661" customFormat="1" ht="22.5" customHeight="1">
      <c r="A128" s="848" t="s">
        <v>566</v>
      </c>
      <c r="B128" s="848" t="s">
        <v>503</v>
      </c>
      <c r="C128" s="849">
        <v>44656</v>
      </c>
      <c r="D128" s="848" t="s">
        <v>212</v>
      </c>
      <c r="E128" s="848" t="s">
        <v>320</v>
      </c>
      <c r="F128" s="850" t="s">
        <v>567</v>
      </c>
      <c r="G128" s="851" t="s">
        <v>259</v>
      </c>
      <c r="H128" s="852" t="s">
        <v>260</v>
      </c>
      <c r="I128" s="750" t="s">
        <v>568</v>
      </c>
      <c r="J128" s="658">
        <f>VLOOKUP($I128,Prices!A:B,2,0)</f>
        <v>4</v>
      </c>
      <c r="K128" s="790">
        <f>VLOOKUP(I128,Prices!A:C,3,0)</f>
        <v>1</v>
      </c>
      <c r="L128" s="644">
        <v>20</v>
      </c>
      <c r="M128" s="644">
        <v>12</v>
      </c>
      <c r="N128" s="707">
        <f>VLOOKUP($I128,Prices!A:D,4,0)</f>
        <v>500000</v>
      </c>
      <c r="O128" s="772">
        <f t="shared" si="4"/>
        <v>10000000</v>
      </c>
      <c r="P128" s="793">
        <f t="shared" si="6"/>
        <v>6000000</v>
      </c>
      <c r="Q128" s="851">
        <f>SUM(O128:O129)</f>
        <v>10150000</v>
      </c>
      <c r="R128" s="877">
        <f>Q128/VLOOKUP(H128,'Currency Conversion'!B:C,2,0)</f>
        <v>9611742.4242424238</v>
      </c>
      <c r="S128" s="853">
        <f>R128</f>
        <v>9611742.4242424238</v>
      </c>
      <c r="T128" s="852" t="s">
        <v>325</v>
      </c>
      <c r="U128" s="854" t="s">
        <v>569</v>
      </c>
      <c r="V128" s="854" t="s">
        <v>570</v>
      </c>
      <c r="W128" s="854" t="s">
        <v>571</v>
      </c>
      <c r="X128" s="903" t="s">
        <v>572</v>
      </c>
      <c r="Y128" s="852">
        <v>0</v>
      </c>
      <c r="Z128" s="852">
        <v>1</v>
      </c>
      <c r="AA128" s="816" t="s">
        <v>573</v>
      </c>
      <c r="AB128" s="711" t="s">
        <v>21</v>
      </c>
      <c r="AC128" s="711" t="s">
        <v>21</v>
      </c>
      <c r="AD128" s="711" t="s">
        <v>21</v>
      </c>
      <c r="AE128" s="711" t="s">
        <v>21</v>
      </c>
      <c r="AF128" s="711" t="s">
        <v>21</v>
      </c>
      <c r="AG128" s="711" t="s">
        <v>21</v>
      </c>
      <c r="AH128" s="711" t="s">
        <v>21</v>
      </c>
      <c r="AI128" s="711" t="s">
        <v>21</v>
      </c>
      <c r="AJ128" s="711" t="s">
        <v>21</v>
      </c>
      <c r="AK128" s="711" t="s">
        <v>21</v>
      </c>
      <c r="AL128" s="711" t="s">
        <v>21</v>
      </c>
      <c r="AM128" s="711" t="s">
        <v>21</v>
      </c>
      <c r="AN128" s="711" t="s">
        <v>21</v>
      </c>
      <c r="AO128" s="711" t="s">
        <v>21</v>
      </c>
    </row>
    <row r="129" spans="1:42" s="661" customFormat="1" ht="19.5" customHeight="1">
      <c r="A129" s="848"/>
      <c r="B129" s="848"/>
      <c r="C129" s="848"/>
      <c r="D129" s="848"/>
      <c r="E129" s="848"/>
      <c r="F129" s="850"/>
      <c r="G129" s="851"/>
      <c r="H129" s="852"/>
      <c r="I129" s="750" t="s">
        <v>574</v>
      </c>
      <c r="J129" s="658">
        <f>VLOOKUP($I129,Prices!A:B,2,0)</f>
        <v>4</v>
      </c>
      <c r="K129" s="790">
        <f>VLOOKUP(I129,Prices!A:C,3,0)</f>
        <v>1</v>
      </c>
      <c r="L129" s="644">
        <v>5</v>
      </c>
      <c r="M129" s="644">
        <v>5</v>
      </c>
      <c r="N129" s="707">
        <f>VLOOKUP($I129,Prices!A:D,4,0)</f>
        <v>30000</v>
      </c>
      <c r="O129" s="772">
        <f t="shared" si="4"/>
        <v>150000</v>
      </c>
      <c r="P129" s="793">
        <f t="shared" si="6"/>
        <v>150000</v>
      </c>
      <c r="Q129" s="851"/>
      <c r="R129" s="877"/>
      <c r="S129" s="853"/>
      <c r="T129" s="852"/>
      <c r="U129" s="855"/>
      <c r="V129" s="854"/>
      <c r="W129" s="855"/>
      <c r="X129" s="904"/>
      <c r="Y129" s="852"/>
      <c r="Z129" s="852"/>
      <c r="AA129" s="816" t="s">
        <v>570</v>
      </c>
      <c r="AB129" s="711" t="s">
        <v>21</v>
      </c>
      <c r="AC129" s="711" t="s">
        <v>21</v>
      </c>
      <c r="AD129" s="711" t="s">
        <v>21</v>
      </c>
      <c r="AE129" s="711" t="s">
        <v>21</v>
      </c>
      <c r="AF129" s="711" t="s">
        <v>21</v>
      </c>
      <c r="AG129" s="711" t="s">
        <v>21</v>
      </c>
      <c r="AH129" s="711" t="s">
        <v>21</v>
      </c>
      <c r="AI129" s="711" t="s">
        <v>21</v>
      </c>
      <c r="AJ129" s="711" t="s">
        <v>21</v>
      </c>
      <c r="AK129" s="711" t="s">
        <v>21</v>
      </c>
      <c r="AL129" s="711" t="s">
        <v>21</v>
      </c>
      <c r="AM129" s="711" t="s">
        <v>21</v>
      </c>
      <c r="AN129" s="711" t="s">
        <v>21</v>
      </c>
      <c r="AO129" s="711" t="s">
        <v>21</v>
      </c>
    </row>
    <row r="130" spans="1:42" s="661" customFormat="1" ht="21.75" customHeight="1">
      <c r="A130" s="750" t="s">
        <v>575</v>
      </c>
      <c r="B130" s="750" t="s">
        <v>503</v>
      </c>
      <c r="C130" s="751">
        <v>44657</v>
      </c>
      <c r="D130" s="750" t="s">
        <v>212</v>
      </c>
      <c r="E130" s="750" t="s">
        <v>213</v>
      </c>
      <c r="F130" s="789" t="s">
        <v>576</v>
      </c>
      <c r="G130" s="753">
        <v>133000000</v>
      </c>
      <c r="H130" s="754" t="s">
        <v>505</v>
      </c>
      <c r="I130" s="750" t="s">
        <v>194</v>
      </c>
      <c r="J130" s="658" t="str">
        <f>VLOOKUP($I130,Prices!A:B,2,0)</f>
        <v>.</v>
      </c>
      <c r="K130" s="790">
        <f>VLOOKUP(I130,Prices!A:C,3,0)</f>
        <v>0</v>
      </c>
      <c r="L130" s="644" t="s">
        <v>194</v>
      </c>
      <c r="M130" s="644" t="s">
        <v>21</v>
      </c>
      <c r="N130" s="707" t="str">
        <f>VLOOKUP($I130,Prices!A:D,4,0)</f>
        <v>.</v>
      </c>
      <c r="O130" s="772" t="s">
        <v>194</v>
      </c>
      <c r="P130" s="793" t="s">
        <v>194</v>
      </c>
      <c r="Q130" s="753">
        <f>G130</f>
        <v>133000000</v>
      </c>
      <c r="R130" s="753">
        <f>Q130/VLOOKUP(H130,'Currency Conversion'!B:C,2,0)</f>
        <v>5380041.2604668094</v>
      </c>
      <c r="S130" s="755">
        <f>R130</f>
        <v>5380041.2604668094</v>
      </c>
      <c r="T130" s="754" t="s">
        <v>195</v>
      </c>
      <c r="U130" s="756" t="s">
        <v>546</v>
      </c>
      <c r="V130" s="805" t="s">
        <v>194</v>
      </c>
      <c r="W130" s="752" t="s">
        <v>194</v>
      </c>
      <c r="X130" s="814" t="s">
        <v>194</v>
      </c>
      <c r="Y130" s="754">
        <v>0</v>
      </c>
      <c r="Z130" s="754">
        <v>0</v>
      </c>
      <c r="AA130" s="816" t="s">
        <v>529</v>
      </c>
      <c r="AB130" s="711" t="s">
        <v>21</v>
      </c>
      <c r="AC130" s="711" t="s">
        <v>21</v>
      </c>
      <c r="AD130" s="711" t="s">
        <v>21</v>
      </c>
      <c r="AE130" s="711" t="s">
        <v>21</v>
      </c>
      <c r="AF130" s="711" t="s">
        <v>21</v>
      </c>
      <c r="AG130" s="711" t="s">
        <v>21</v>
      </c>
      <c r="AH130" s="711" t="s">
        <v>21</v>
      </c>
      <c r="AI130" s="711" t="s">
        <v>21</v>
      </c>
      <c r="AJ130" s="711" t="s">
        <v>21</v>
      </c>
      <c r="AK130" s="711" t="s">
        <v>21</v>
      </c>
      <c r="AL130" s="711" t="s">
        <v>21</v>
      </c>
      <c r="AM130" s="711" t="s">
        <v>21</v>
      </c>
      <c r="AN130" s="711" t="s">
        <v>21</v>
      </c>
      <c r="AO130" s="711" t="s">
        <v>21</v>
      </c>
    </row>
    <row r="131" spans="1:42" s="661" customFormat="1" ht="21.75" customHeight="1">
      <c r="A131" s="848" t="s">
        <v>577</v>
      </c>
      <c r="B131" s="848" t="s">
        <v>503</v>
      </c>
      <c r="C131" s="848" t="s">
        <v>578</v>
      </c>
      <c r="D131" s="848" t="s">
        <v>212</v>
      </c>
      <c r="E131" s="848" t="s">
        <v>320</v>
      </c>
      <c r="F131" s="859" t="s">
        <v>579</v>
      </c>
      <c r="G131" s="851" t="s">
        <v>201</v>
      </c>
      <c r="H131" s="852" t="s">
        <v>260</v>
      </c>
      <c r="I131" s="750" t="s">
        <v>580</v>
      </c>
      <c r="J131" s="658">
        <f>VLOOKUP($I131,Prices!A:B,2,0)</f>
        <v>4</v>
      </c>
      <c r="K131" s="790">
        <f>VLOOKUP(I131,Prices!A:C,3,0)</f>
        <v>1</v>
      </c>
      <c r="L131" s="644">
        <v>20</v>
      </c>
      <c r="M131" s="644">
        <v>20</v>
      </c>
      <c r="N131" s="707">
        <f>VLOOKUP($I131,Prices!A:D,4,0)</f>
        <v>2300000</v>
      </c>
      <c r="O131" s="772">
        <f t="shared" si="4"/>
        <v>46000000</v>
      </c>
      <c r="P131" s="793">
        <f t="shared" si="6"/>
        <v>46000000</v>
      </c>
      <c r="Q131" s="851">
        <f>SUM(O131:O132)</f>
        <v>77000000</v>
      </c>
      <c r="R131" s="851">
        <f>Q131/VLOOKUP(H131,'Currency Conversion'!B:C,2,0)</f>
        <v>72916666.666666657</v>
      </c>
      <c r="S131" s="853">
        <f>R131</f>
        <v>72916666.666666657</v>
      </c>
      <c r="T131" s="852" t="s">
        <v>325</v>
      </c>
      <c r="U131" s="854" t="s">
        <v>581</v>
      </c>
      <c r="V131" s="926" t="s">
        <v>194</v>
      </c>
      <c r="W131" s="926" t="s">
        <v>194</v>
      </c>
      <c r="X131" s="895" t="s">
        <v>194</v>
      </c>
      <c r="Y131" s="852">
        <v>0</v>
      </c>
      <c r="Z131" s="852">
        <v>0</v>
      </c>
      <c r="AA131" s="816" t="s">
        <v>582</v>
      </c>
      <c r="AB131" s="711" t="s">
        <v>21</v>
      </c>
      <c r="AC131" s="711" t="s">
        <v>21</v>
      </c>
      <c r="AD131" s="711" t="s">
        <v>21</v>
      </c>
      <c r="AE131" s="711" t="s">
        <v>21</v>
      </c>
      <c r="AF131" s="711" t="s">
        <v>21</v>
      </c>
      <c r="AG131" s="711" t="s">
        <v>21</v>
      </c>
      <c r="AH131" s="711" t="s">
        <v>21</v>
      </c>
      <c r="AI131" s="711" t="s">
        <v>21</v>
      </c>
      <c r="AJ131" s="711" t="s">
        <v>21</v>
      </c>
      <c r="AK131" s="711" t="s">
        <v>21</v>
      </c>
      <c r="AL131" s="711" t="s">
        <v>21</v>
      </c>
      <c r="AM131" s="711" t="s">
        <v>21</v>
      </c>
      <c r="AN131" s="711" t="s">
        <v>21</v>
      </c>
      <c r="AO131" s="711" t="s">
        <v>21</v>
      </c>
    </row>
    <row r="132" spans="1:42" s="661" customFormat="1" ht="17.25" customHeight="1">
      <c r="A132" s="848"/>
      <c r="B132" s="848"/>
      <c r="C132" s="848"/>
      <c r="D132" s="848"/>
      <c r="E132" s="848"/>
      <c r="F132" s="859"/>
      <c r="G132" s="851"/>
      <c r="H132" s="852"/>
      <c r="I132" s="750" t="s">
        <v>583</v>
      </c>
      <c r="J132" s="658">
        <f>VLOOKUP($I132,Prices!A:B,2,0)</f>
        <v>4</v>
      </c>
      <c r="K132" s="790">
        <f>VLOOKUP(I132,Prices!A:C,3,0)</f>
        <v>1</v>
      </c>
      <c r="L132" s="644">
        <v>20</v>
      </c>
      <c r="M132" s="644">
        <v>20</v>
      </c>
      <c r="N132" s="707">
        <f>VLOOKUP($I132,Prices!A:D,4,0)</f>
        <v>1550000</v>
      </c>
      <c r="O132" s="772">
        <f t="shared" si="4"/>
        <v>31000000</v>
      </c>
      <c r="P132" s="793">
        <f t="shared" si="6"/>
        <v>31000000</v>
      </c>
      <c r="Q132" s="851"/>
      <c r="R132" s="851"/>
      <c r="S132" s="853"/>
      <c r="T132" s="852"/>
      <c r="U132" s="855"/>
      <c r="V132" s="926"/>
      <c r="W132" s="926"/>
      <c r="X132" s="895"/>
      <c r="Y132" s="852"/>
      <c r="Z132" s="852"/>
      <c r="AA132" s="816" t="s">
        <v>581</v>
      </c>
      <c r="AB132" s="711" t="s">
        <v>21</v>
      </c>
      <c r="AC132" s="711" t="s">
        <v>21</v>
      </c>
      <c r="AD132" s="711" t="s">
        <v>21</v>
      </c>
      <c r="AE132" s="711" t="s">
        <v>21</v>
      </c>
      <c r="AF132" s="711" t="s">
        <v>21</v>
      </c>
      <c r="AG132" s="711" t="s">
        <v>21</v>
      </c>
      <c r="AH132" s="711" t="s">
        <v>21</v>
      </c>
      <c r="AI132" s="711" t="s">
        <v>21</v>
      </c>
      <c r="AJ132" s="711" t="s">
        <v>21</v>
      </c>
      <c r="AK132" s="711" t="s">
        <v>21</v>
      </c>
      <c r="AL132" s="711" t="s">
        <v>21</v>
      </c>
      <c r="AM132" s="711" t="s">
        <v>21</v>
      </c>
      <c r="AN132" s="711" t="s">
        <v>21</v>
      </c>
      <c r="AO132" s="711" t="s">
        <v>21</v>
      </c>
    </row>
    <row r="133" spans="1:42" s="661" customFormat="1" ht="22.5" customHeight="1">
      <c r="A133" s="750" t="s">
        <v>584</v>
      </c>
      <c r="B133" s="750" t="s">
        <v>503</v>
      </c>
      <c r="C133" s="751">
        <v>44704</v>
      </c>
      <c r="D133" s="750" t="s">
        <v>212</v>
      </c>
      <c r="E133" s="750" t="s">
        <v>320</v>
      </c>
      <c r="F133" s="752" t="s">
        <v>585</v>
      </c>
      <c r="G133" s="753" t="s">
        <v>201</v>
      </c>
      <c r="H133" s="754" t="s">
        <v>260</v>
      </c>
      <c r="I133" s="750" t="s">
        <v>586</v>
      </c>
      <c r="J133" s="658">
        <f>VLOOKUP($I133,Prices!A:B,2,0)</f>
        <v>5</v>
      </c>
      <c r="K133" s="790">
        <f>VLOOKUP(I133,Prices!A:C,3,0)</f>
        <v>1</v>
      </c>
      <c r="L133" s="644">
        <v>7</v>
      </c>
      <c r="M133" s="644">
        <v>0</v>
      </c>
      <c r="N133" s="707">
        <f>VLOOKUP($I133,Prices!A:D,4,0)</f>
        <v>12000000</v>
      </c>
      <c r="O133" s="772">
        <f t="shared" si="4"/>
        <v>84000000</v>
      </c>
      <c r="P133" s="793">
        <f t="shared" si="6"/>
        <v>0</v>
      </c>
      <c r="Q133" s="753">
        <f>O133</f>
        <v>84000000</v>
      </c>
      <c r="R133" s="753">
        <f>Q133/VLOOKUP(H133,'Currency Conversion'!B:C,2,0)</f>
        <v>79545454.545454547</v>
      </c>
      <c r="S133" s="755">
        <f>R133</f>
        <v>79545454.545454547</v>
      </c>
      <c r="T133" s="754" t="s">
        <v>298</v>
      </c>
      <c r="U133" s="756" t="s">
        <v>587</v>
      </c>
      <c r="V133" s="756" t="s">
        <v>588</v>
      </c>
      <c r="W133" s="805" t="s">
        <v>194</v>
      </c>
      <c r="X133" s="817" t="s">
        <v>194</v>
      </c>
      <c r="Y133" s="754">
        <v>0</v>
      </c>
      <c r="Z133" s="754">
        <v>1</v>
      </c>
      <c r="AA133" s="816" t="s">
        <v>589</v>
      </c>
      <c r="AB133" s="711" t="s">
        <v>21</v>
      </c>
      <c r="AC133" s="711" t="s">
        <v>21</v>
      </c>
      <c r="AD133" s="711" t="s">
        <v>21</v>
      </c>
      <c r="AE133" s="711" t="s">
        <v>21</v>
      </c>
      <c r="AF133" s="711" t="s">
        <v>21</v>
      </c>
      <c r="AG133" s="711" t="s">
        <v>21</v>
      </c>
      <c r="AH133" s="711" t="s">
        <v>21</v>
      </c>
      <c r="AI133" s="711" t="s">
        <v>21</v>
      </c>
      <c r="AJ133" s="711" t="s">
        <v>21</v>
      </c>
      <c r="AK133" s="711" t="s">
        <v>21</v>
      </c>
      <c r="AL133" s="711" t="s">
        <v>21</v>
      </c>
      <c r="AM133" s="711" t="s">
        <v>21</v>
      </c>
      <c r="AN133" s="711" t="s">
        <v>21</v>
      </c>
      <c r="AO133" s="711" t="s">
        <v>21</v>
      </c>
    </row>
    <row r="134" spans="1:42" s="661" customFormat="1" ht="24" customHeight="1">
      <c r="A134" s="750" t="s">
        <v>590</v>
      </c>
      <c r="B134" s="750" t="s">
        <v>503</v>
      </c>
      <c r="C134" s="751">
        <v>44710</v>
      </c>
      <c r="D134" s="750" t="s">
        <v>212</v>
      </c>
      <c r="E134" s="750" t="s">
        <v>320</v>
      </c>
      <c r="F134" s="789" t="s">
        <v>591</v>
      </c>
      <c r="G134" s="753">
        <v>30000000</v>
      </c>
      <c r="H134" s="754" t="s">
        <v>260</v>
      </c>
      <c r="I134" s="750" t="s">
        <v>194</v>
      </c>
      <c r="J134" s="658" t="str">
        <f>VLOOKUP($I134,Prices!A:B,2,0)</f>
        <v>.</v>
      </c>
      <c r="K134" s="790">
        <f>VLOOKUP(I134,Prices!A:C,3,0)</f>
        <v>0</v>
      </c>
      <c r="L134" s="644" t="s">
        <v>194</v>
      </c>
      <c r="M134" s="644" t="s">
        <v>21</v>
      </c>
      <c r="N134" s="707" t="str">
        <f>VLOOKUP($I134,Prices!A:D,4,0)</f>
        <v>.</v>
      </c>
      <c r="O134" s="772" t="s">
        <v>194</v>
      </c>
      <c r="P134" s="793" t="s">
        <v>194</v>
      </c>
      <c r="Q134" s="753">
        <f>G134</f>
        <v>30000000</v>
      </c>
      <c r="R134" s="753">
        <f>Q134/VLOOKUP(H134,'Currency Conversion'!B:C,2,0)</f>
        <v>28409090.909090906</v>
      </c>
      <c r="S134" s="755" t="s">
        <v>194</v>
      </c>
      <c r="T134" s="754" t="s">
        <v>325</v>
      </c>
      <c r="U134" s="756" t="s">
        <v>529</v>
      </c>
      <c r="V134" s="805" t="s">
        <v>194</v>
      </c>
      <c r="W134" s="805" t="s">
        <v>194</v>
      </c>
      <c r="X134" s="817" t="s">
        <v>194</v>
      </c>
      <c r="Y134" s="754">
        <v>0</v>
      </c>
      <c r="Z134" s="754">
        <v>1</v>
      </c>
      <c r="AA134" s="712" t="s">
        <v>194</v>
      </c>
      <c r="AB134" s="711" t="s">
        <v>21</v>
      </c>
      <c r="AC134" s="711" t="s">
        <v>21</v>
      </c>
      <c r="AD134" s="711" t="s">
        <v>21</v>
      </c>
      <c r="AE134" s="711" t="s">
        <v>21</v>
      </c>
      <c r="AF134" s="711" t="s">
        <v>21</v>
      </c>
      <c r="AG134" s="711" t="s">
        <v>21</v>
      </c>
      <c r="AH134" s="711" t="s">
        <v>21</v>
      </c>
      <c r="AI134" s="711" t="s">
        <v>21</v>
      </c>
      <c r="AJ134" s="711" t="s">
        <v>21</v>
      </c>
      <c r="AK134" s="711" t="s">
        <v>21</v>
      </c>
      <c r="AL134" s="711" t="s">
        <v>21</v>
      </c>
      <c r="AM134" s="711" t="s">
        <v>21</v>
      </c>
      <c r="AN134" s="711" t="s">
        <v>21</v>
      </c>
      <c r="AO134" s="711" t="s">
        <v>21</v>
      </c>
    </row>
    <row r="135" spans="1:42" ht="54.95" customHeight="1">
      <c r="A135" s="767" t="s">
        <v>592</v>
      </c>
      <c r="B135" s="767" t="s">
        <v>503</v>
      </c>
      <c r="C135" s="768">
        <v>44616</v>
      </c>
      <c r="D135" s="767" t="s">
        <v>190</v>
      </c>
      <c r="E135" s="767" t="s">
        <v>191</v>
      </c>
      <c r="F135" s="789" t="s">
        <v>593</v>
      </c>
      <c r="G135" s="770">
        <v>300000000</v>
      </c>
      <c r="H135" s="761" t="s">
        <v>505</v>
      </c>
      <c r="I135" s="767" t="s">
        <v>194</v>
      </c>
      <c r="J135" s="658" t="str">
        <f>VLOOKUP($I135,Prices!A:B,2,0)</f>
        <v>.</v>
      </c>
      <c r="K135" s="790" t="s">
        <v>194</v>
      </c>
      <c r="L135" s="651" t="s">
        <v>194</v>
      </c>
      <c r="M135" s="651" t="s">
        <v>194</v>
      </c>
      <c r="N135" s="708" t="str">
        <f>VLOOKUP($I135,Prices!A:D,4,0)</f>
        <v>.</v>
      </c>
      <c r="O135" s="772" t="s">
        <v>194</v>
      </c>
      <c r="P135" s="793" t="s">
        <v>194</v>
      </c>
      <c r="Q135" s="769">
        <f t="shared" ref="Q135" si="12">G135</f>
        <v>300000000</v>
      </c>
      <c r="R135" s="769">
        <f>Q135/VLOOKUP(H135,'Currency Conversion'!B:C,2,0)</f>
        <v>12135431.414586788</v>
      </c>
      <c r="S135" s="763" t="s">
        <v>194</v>
      </c>
      <c r="T135" s="761" t="s">
        <v>195</v>
      </c>
      <c r="U135" s="756" t="s">
        <v>546</v>
      </c>
      <c r="V135" s="756" t="s">
        <v>594</v>
      </c>
      <c r="W135" s="756" t="s">
        <v>595</v>
      </c>
      <c r="X135" s="811" t="s">
        <v>194</v>
      </c>
      <c r="Y135" s="815">
        <v>0</v>
      </c>
      <c r="Z135" s="761">
        <v>0</v>
      </c>
      <c r="AA135" s="763" t="s">
        <v>194</v>
      </c>
      <c r="AB135" s="767"/>
      <c r="AC135" s="767"/>
      <c r="AD135" s="767"/>
      <c r="AE135" s="767"/>
      <c r="AF135" s="767"/>
      <c r="AG135" s="767"/>
      <c r="AH135" s="767"/>
      <c r="AI135" s="767"/>
      <c r="AJ135" s="767"/>
      <c r="AK135" s="767"/>
      <c r="AL135" s="767"/>
      <c r="AM135" s="767"/>
      <c r="AN135" s="767"/>
      <c r="AO135" s="767"/>
      <c r="AP135" s="767"/>
    </row>
    <row r="136" spans="1:42" ht="48" customHeight="1">
      <c r="A136" s="767" t="s">
        <v>596</v>
      </c>
      <c r="B136" s="767" t="s">
        <v>503</v>
      </c>
      <c r="C136" s="768">
        <v>44624</v>
      </c>
      <c r="D136" s="767" t="s">
        <v>190</v>
      </c>
      <c r="E136" s="767" t="s">
        <v>199</v>
      </c>
      <c r="F136" s="765" t="s">
        <v>597</v>
      </c>
      <c r="G136" s="769">
        <v>108000000</v>
      </c>
      <c r="H136" s="761" t="s">
        <v>505</v>
      </c>
      <c r="I136" s="769" t="s">
        <v>194</v>
      </c>
      <c r="J136" s="658" t="str">
        <f>VLOOKUP($I136,Prices!A:B,2,0)</f>
        <v>.</v>
      </c>
      <c r="K136" s="790" t="s">
        <v>194</v>
      </c>
      <c r="L136" s="651" t="s">
        <v>194</v>
      </c>
      <c r="M136" s="651" t="s">
        <v>194</v>
      </c>
      <c r="N136" s="647" t="str">
        <f>VLOOKUP($I136,Prices!A:D,4,0)</f>
        <v>.</v>
      </c>
      <c r="O136" s="772" t="s">
        <v>194</v>
      </c>
      <c r="P136" s="793" t="s">
        <v>194</v>
      </c>
      <c r="Q136" s="769">
        <f>G136</f>
        <v>108000000</v>
      </c>
      <c r="R136" s="769">
        <f>Q136/VLOOKUP(H136,'Currency Conversion'!B:C,2,0)</f>
        <v>4368755.3092512442</v>
      </c>
      <c r="S136" s="763" t="s">
        <v>194</v>
      </c>
      <c r="T136" s="761" t="s">
        <v>298</v>
      </c>
      <c r="U136" s="756" t="s">
        <v>555</v>
      </c>
      <c r="V136" s="756" t="s">
        <v>598</v>
      </c>
      <c r="W136" s="756" t="s">
        <v>555</v>
      </c>
      <c r="X136" s="811" t="s">
        <v>194</v>
      </c>
      <c r="Y136" s="759">
        <v>0</v>
      </c>
      <c r="Z136" s="761">
        <v>0</v>
      </c>
      <c r="AA136" s="763" t="s">
        <v>194</v>
      </c>
      <c r="AB136" s="767"/>
      <c r="AC136" s="767"/>
      <c r="AD136" s="767"/>
      <c r="AE136" s="767"/>
      <c r="AF136" s="767"/>
      <c r="AG136" s="767"/>
      <c r="AH136" s="767"/>
      <c r="AI136" s="767"/>
      <c r="AJ136" s="767"/>
      <c r="AK136" s="767"/>
      <c r="AL136" s="767"/>
      <c r="AM136" s="767"/>
      <c r="AN136" s="767"/>
      <c r="AO136" s="767"/>
      <c r="AP136" s="767"/>
    </row>
    <row r="137" spans="1:42" ht="48.95" customHeight="1">
      <c r="A137" s="767" t="s">
        <v>599</v>
      </c>
      <c r="B137" s="767" t="s">
        <v>503</v>
      </c>
      <c r="C137" s="768">
        <v>44625</v>
      </c>
      <c r="D137" s="767" t="s">
        <v>190</v>
      </c>
      <c r="E137" s="767" t="s">
        <v>276</v>
      </c>
      <c r="F137" s="765" t="s">
        <v>600</v>
      </c>
      <c r="G137" s="769">
        <v>10000000</v>
      </c>
      <c r="H137" s="761" t="s">
        <v>505</v>
      </c>
      <c r="I137" s="769" t="s">
        <v>194</v>
      </c>
      <c r="J137" s="658" t="str">
        <f>VLOOKUP($I137,Prices!A:B,2,0)</f>
        <v>.</v>
      </c>
      <c r="K137" s="790" t="s">
        <v>194</v>
      </c>
      <c r="L137" s="651" t="s">
        <v>194</v>
      </c>
      <c r="M137" s="651" t="s">
        <v>194</v>
      </c>
      <c r="N137" s="708" t="str">
        <f>VLOOKUP($I137,Prices!A:D,4,0)</f>
        <v>.</v>
      </c>
      <c r="O137" s="772" t="s">
        <v>194</v>
      </c>
      <c r="P137" s="793" t="s">
        <v>194</v>
      </c>
      <c r="Q137" s="769">
        <f>G137</f>
        <v>10000000</v>
      </c>
      <c r="R137" s="769">
        <f>Q137/VLOOKUP(H137,'Currency Conversion'!B:C,2,0)</f>
        <v>404514.38048622629</v>
      </c>
      <c r="S137" s="763" t="s">
        <v>194</v>
      </c>
      <c r="T137" s="761" t="s">
        <v>240</v>
      </c>
      <c r="U137" s="756" t="s">
        <v>555</v>
      </c>
      <c r="V137" s="765" t="s">
        <v>194</v>
      </c>
      <c r="W137" s="765" t="s">
        <v>194</v>
      </c>
      <c r="X137" s="811" t="s">
        <v>194</v>
      </c>
      <c r="Y137" s="759">
        <v>0</v>
      </c>
      <c r="Z137" s="761">
        <v>0</v>
      </c>
      <c r="AA137" s="763" t="s">
        <v>194</v>
      </c>
      <c r="AB137" s="767"/>
      <c r="AC137" s="767"/>
      <c r="AD137" s="767"/>
      <c r="AE137" s="767"/>
      <c r="AF137" s="767"/>
      <c r="AG137" s="767"/>
      <c r="AH137" s="767"/>
      <c r="AI137" s="767"/>
      <c r="AJ137" s="767"/>
      <c r="AK137" s="767"/>
      <c r="AL137" s="767"/>
      <c r="AM137" s="767"/>
      <c r="AN137" s="767"/>
      <c r="AO137" s="767"/>
      <c r="AP137" s="767"/>
    </row>
    <row r="138" spans="1:42" ht="90" customHeight="1">
      <c r="A138" s="767" t="s">
        <v>601</v>
      </c>
      <c r="B138" s="767" t="s">
        <v>503</v>
      </c>
      <c r="C138" s="768" t="s">
        <v>553</v>
      </c>
      <c r="D138" s="767" t="s">
        <v>190</v>
      </c>
      <c r="E138" s="767" t="s">
        <v>602</v>
      </c>
      <c r="F138" s="765" t="s">
        <v>603</v>
      </c>
      <c r="G138" s="770">
        <v>25000000</v>
      </c>
      <c r="H138" s="761" t="s">
        <v>505</v>
      </c>
      <c r="I138" s="767" t="s">
        <v>194</v>
      </c>
      <c r="J138" s="658" t="str">
        <f>VLOOKUP($I138,Prices!A:B,2,0)</f>
        <v>.</v>
      </c>
      <c r="K138" s="790" t="s">
        <v>194</v>
      </c>
      <c r="L138" s="651" t="s">
        <v>194</v>
      </c>
      <c r="M138" s="651" t="s">
        <v>194</v>
      </c>
      <c r="N138" s="647" t="str">
        <f>VLOOKUP($I138,Prices!A:D,4,0)</f>
        <v>.</v>
      </c>
      <c r="O138" s="772" t="s">
        <v>194</v>
      </c>
      <c r="P138" s="793" t="s">
        <v>194</v>
      </c>
      <c r="Q138" s="769">
        <f>G138</f>
        <v>25000000</v>
      </c>
      <c r="R138" s="769">
        <f>Q138/VLOOKUP(H138,'Currency Conversion'!B:C,2,0)</f>
        <v>1011285.9512155657</v>
      </c>
      <c r="S138" s="763" t="s">
        <v>194</v>
      </c>
      <c r="T138" s="761" t="s">
        <v>240</v>
      </c>
      <c r="U138" s="756" t="s">
        <v>546</v>
      </c>
      <c r="V138" s="765" t="s">
        <v>194</v>
      </c>
      <c r="W138" s="765" t="s">
        <v>194</v>
      </c>
      <c r="X138" s="811" t="s">
        <v>194</v>
      </c>
      <c r="Y138" s="815">
        <v>0</v>
      </c>
      <c r="Z138" s="761">
        <v>0</v>
      </c>
      <c r="AA138" s="802" t="s">
        <v>194</v>
      </c>
      <c r="AB138" s="767"/>
      <c r="AC138" s="767"/>
      <c r="AD138" s="767"/>
      <c r="AE138" s="767"/>
      <c r="AF138" s="767"/>
      <c r="AG138" s="767"/>
      <c r="AH138" s="767"/>
      <c r="AI138" s="767"/>
      <c r="AJ138" s="767"/>
      <c r="AK138" s="767"/>
      <c r="AL138" s="767"/>
      <c r="AM138" s="767"/>
      <c r="AN138" s="767"/>
      <c r="AO138" s="767"/>
      <c r="AP138" s="767"/>
    </row>
    <row r="139" spans="1:42" s="141" customFormat="1" ht="25.5" customHeight="1">
      <c r="A139" s="775" t="s">
        <v>604</v>
      </c>
      <c r="B139" s="775" t="s">
        <v>503</v>
      </c>
      <c r="C139" s="780">
        <v>44657</v>
      </c>
      <c r="D139" s="775" t="s">
        <v>190</v>
      </c>
      <c r="E139" s="775" t="s">
        <v>602</v>
      </c>
      <c r="F139" s="765" t="s">
        <v>605</v>
      </c>
      <c r="G139" s="777">
        <v>14000000</v>
      </c>
      <c r="H139" s="757" t="s">
        <v>505</v>
      </c>
      <c r="I139" s="775" t="s">
        <v>194</v>
      </c>
      <c r="J139" s="658" t="str">
        <f>VLOOKUP($I139,Prices!A:B,2,0)</f>
        <v>.</v>
      </c>
      <c r="K139" s="790" t="s">
        <v>194</v>
      </c>
      <c r="L139" s="788" t="s">
        <v>194</v>
      </c>
      <c r="M139" s="788" t="s">
        <v>194</v>
      </c>
      <c r="N139" s="708" t="str">
        <f>VLOOKUP($I139,Prices!A:D,4,0)</f>
        <v>.</v>
      </c>
      <c r="O139" s="772" t="s">
        <v>194</v>
      </c>
      <c r="P139" s="793" t="s">
        <v>194</v>
      </c>
      <c r="Q139" s="772">
        <f>G139</f>
        <v>14000000</v>
      </c>
      <c r="R139" s="772">
        <f>Q139/VLOOKUP(H139,'Currency Conversion'!B:C,2,0)</f>
        <v>566320.13268071681</v>
      </c>
      <c r="S139" s="749" t="s">
        <v>194</v>
      </c>
      <c r="T139" s="757" t="s">
        <v>240</v>
      </c>
      <c r="U139" s="756" t="s">
        <v>546</v>
      </c>
      <c r="V139" s="765" t="s">
        <v>194</v>
      </c>
      <c r="W139" s="765" t="s">
        <v>194</v>
      </c>
      <c r="X139" s="811" t="s">
        <v>194</v>
      </c>
      <c r="Y139" s="815">
        <v>0</v>
      </c>
      <c r="Z139" s="757">
        <v>0</v>
      </c>
      <c r="AA139" s="799" t="s">
        <v>194</v>
      </c>
      <c r="AB139" s="775"/>
      <c r="AC139" s="775"/>
      <c r="AD139" s="775"/>
      <c r="AE139" s="775"/>
      <c r="AF139" s="775"/>
      <c r="AG139" s="775"/>
      <c r="AH139" s="775"/>
      <c r="AI139" s="775"/>
      <c r="AJ139" s="775"/>
      <c r="AK139" s="775"/>
      <c r="AL139" s="775"/>
      <c r="AM139" s="775"/>
      <c r="AN139" s="775"/>
      <c r="AO139" s="775"/>
      <c r="AP139" s="775"/>
    </row>
    <row r="140" spans="1:42" s="141" customFormat="1" ht="59.1" customHeight="1">
      <c r="A140" s="775" t="s">
        <v>606</v>
      </c>
      <c r="B140" s="775" t="s">
        <v>503</v>
      </c>
      <c r="C140" s="780">
        <v>44686</v>
      </c>
      <c r="D140" s="775" t="s">
        <v>190</v>
      </c>
      <c r="E140" s="775" t="s">
        <v>602</v>
      </c>
      <c r="F140" s="765" t="s">
        <v>607</v>
      </c>
      <c r="G140" s="777">
        <v>433000000</v>
      </c>
      <c r="H140" s="757" t="s">
        <v>505</v>
      </c>
      <c r="I140" s="775" t="s">
        <v>194</v>
      </c>
      <c r="J140" s="658" t="str">
        <f>VLOOKUP($I140,Prices!A:B,2,0)</f>
        <v>.</v>
      </c>
      <c r="K140" s="790" t="s">
        <v>194</v>
      </c>
      <c r="L140" s="788" t="s">
        <v>194</v>
      </c>
      <c r="M140" s="788" t="s">
        <v>194</v>
      </c>
      <c r="N140" s="647" t="str">
        <f>VLOOKUP($I140,Prices!A:D,4,0)</f>
        <v>.</v>
      </c>
      <c r="O140" s="772" t="s">
        <v>194</v>
      </c>
      <c r="P140" s="793" t="s">
        <v>194</v>
      </c>
      <c r="Q140" s="772">
        <f>G140</f>
        <v>433000000</v>
      </c>
      <c r="R140" s="772">
        <f>Q140/VLOOKUP(H140,'Currency Conversion'!B:C,2,0)</f>
        <v>17515472.675053596</v>
      </c>
      <c r="S140" s="749" t="s">
        <v>194</v>
      </c>
      <c r="T140" s="757" t="s">
        <v>240</v>
      </c>
      <c r="U140" s="756" t="s">
        <v>312</v>
      </c>
      <c r="V140" s="765" t="s">
        <v>194</v>
      </c>
      <c r="W140" s="765" t="s">
        <v>194</v>
      </c>
      <c r="X140" s="811" t="s">
        <v>194</v>
      </c>
      <c r="Y140" s="815">
        <v>0</v>
      </c>
      <c r="Z140" s="757">
        <v>0</v>
      </c>
      <c r="AA140" s="799" t="s">
        <v>194</v>
      </c>
      <c r="AB140" s="775"/>
      <c r="AC140" s="775"/>
      <c r="AD140" s="775"/>
      <c r="AE140" s="775"/>
      <c r="AF140" s="775"/>
      <c r="AG140" s="775"/>
      <c r="AH140" s="775"/>
      <c r="AI140" s="775"/>
      <c r="AJ140" s="775"/>
      <c r="AK140" s="775"/>
      <c r="AL140" s="775"/>
      <c r="AM140" s="775"/>
      <c r="AN140" s="775"/>
      <c r="AO140" s="775"/>
      <c r="AP140" s="775"/>
    </row>
    <row r="141" spans="1:42" s="141" customFormat="1" ht="59.1" customHeight="1">
      <c r="A141" s="775" t="s">
        <v>608</v>
      </c>
      <c r="B141" s="775" t="s">
        <v>503</v>
      </c>
      <c r="C141" s="776">
        <v>44713</v>
      </c>
      <c r="D141" s="775" t="s">
        <v>190</v>
      </c>
      <c r="E141" s="775" t="s">
        <v>199</v>
      </c>
      <c r="F141" s="765" t="s">
        <v>609</v>
      </c>
      <c r="G141" s="777" t="s">
        <v>201</v>
      </c>
      <c r="H141" s="757" t="s">
        <v>260</v>
      </c>
      <c r="I141" s="775" t="s">
        <v>610</v>
      </c>
      <c r="J141" s="658">
        <f>VLOOKUP($I141,Prices!A:B,2,0)</f>
        <v>0</v>
      </c>
      <c r="K141" s="790">
        <f>VLOOKUP(I141,Prices!A:C,3,0)</f>
        <v>0</v>
      </c>
      <c r="L141" s="788">
        <v>2</v>
      </c>
      <c r="M141" s="788" t="s">
        <v>194</v>
      </c>
      <c r="N141" s="707">
        <f>VLOOKUP($I141,Prices!A:D,4,0)</f>
        <v>33960000</v>
      </c>
      <c r="O141" s="772">
        <f t="shared" ref="O141:O199" si="13">$L141*$N141</f>
        <v>67920000</v>
      </c>
      <c r="P141" s="793" t="s">
        <v>194</v>
      </c>
      <c r="Q141" s="772">
        <f>O141</f>
        <v>67920000</v>
      </c>
      <c r="R141" s="772">
        <f>Q141/VLOOKUP(H141,'Currency Conversion'!B:C,2,0)</f>
        <v>64318181.818181813</v>
      </c>
      <c r="S141" s="749" t="s">
        <v>194</v>
      </c>
      <c r="T141" s="757" t="s">
        <v>325</v>
      </c>
      <c r="U141" s="756" t="s">
        <v>611</v>
      </c>
      <c r="V141" s="765" t="s">
        <v>194</v>
      </c>
      <c r="W141" s="765" t="s">
        <v>194</v>
      </c>
      <c r="X141" s="811" t="s">
        <v>194</v>
      </c>
      <c r="Y141" s="815">
        <v>0</v>
      </c>
      <c r="Z141" s="757">
        <v>0</v>
      </c>
      <c r="AA141" s="799" t="s">
        <v>194</v>
      </c>
      <c r="AB141" s="775"/>
      <c r="AC141" s="775"/>
      <c r="AD141" s="775"/>
      <c r="AE141" s="775"/>
      <c r="AF141" s="775"/>
      <c r="AG141" s="775"/>
      <c r="AH141" s="775"/>
      <c r="AI141" s="775"/>
      <c r="AJ141" s="775"/>
      <c r="AK141" s="775"/>
      <c r="AL141" s="775"/>
      <c r="AM141" s="775"/>
      <c r="AN141" s="775"/>
      <c r="AO141" s="775"/>
      <c r="AP141" s="775"/>
    </row>
    <row r="142" spans="1:42" s="141" customFormat="1" ht="59.1" customHeight="1">
      <c r="A142" s="868" t="s">
        <v>612</v>
      </c>
      <c r="B142" s="868" t="s">
        <v>503</v>
      </c>
      <c r="C142" s="867">
        <v>44719</v>
      </c>
      <c r="D142" s="868" t="s">
        <v>190</v>
      </c>
      <c r="E142" s="868" t="s">
        <v>199</v>
      </c>
      <c r="F142" s="882" t="s">
        <v>613</v>
      </c>
      <c r="G142" s="875">
        <v>100000000</v>
      </c>
      <c r="H142" s="870" t="s">
        <v>505</v>
      </c>
      <c r="I142" s="775" t="s">
        <v>614</v>
      </c>
      <c r="J142" s="658">
        <f>VLOOKUP($I142,Prices!A:B,2,0)</f>
        <v>0</v>
      </c>
      <c r="K142" s="790">
        <f>VLOOKUP(I142,Prices!A:C,3,0)</f>
        <v>0</v>
      </c>
      <c r="L142" s="788">
        <v>3640000</v>
      </c>
      <c r="M142" s="788">
        <v>3640000</v>
      </c>
      <c r="N142" s="647">
        <f>VLOOKUP($I142,Prices!A:D,4,0)</f>
        <v>0.04</v>
      </c>
      <c r="O142" s="772">
        <f t="shared" si="13"/>
        <v>145600</v>
      </c>
      <c r="P142" s="793">
        <f t="shared" ref="P142:P204" si="14">$M142*$N142</f>
        <v>145600</v>
      </c>
      <c r="Q142" s="869">
        <f>G142</f>
        <v>100000000</v>
      </c>
      <c r="R142" s="869">
        <f>Q142/VLOOKUP(H142,'Currency Conversion'!B:C,2,0)</f>
        <v>4045143.8048622627</v>
      </c>
      <c r="S142" s="886" t="s">
        <v>194</v>
      </c>
      <c r="T142" s="870" t="s">
        <v>325</v>
      </c>
      <c r="U142" s="854" t="s">
        <v>615</v>
      </c>
      <c r="V142" s="882" t="s">
        <v>194</v>
      </c>
      <c r="W142" s="882" t="s">
        <v>194</v>
      </c>
      <c r="X142" s="900" t="s">
        <v>194</v>
      </c>
      <c r="Y142" s="902">
        <v>0</v>
      </c>
      <c r="Z142" s="870">
        <v>0</v>
      </c>
      <c r="AA142" s="899" t="s">
        <v>615</v>
      </c>
      <c r="AB142" s="775"/>
      <c r="AC142" s="775"/>
      <c r="AD142" s="775"/>
      <c r="AE142" s="775"/>
      <c r="AF142" s="775"/>
      <c r="AG142" s="775"/>
      <c r="AH142" s="775"/>
      <c r="AI142" s="775"/>
      <c r="AJ142" s="775"/>
      <c r="AK142" s="775"/>
      <c r="AL142" s="775"/>
      <c r="AM142" s="775"/>
      <c r="AN142" s="775"/>
      <c r="AO142" s="775"/>
      <c r="AP142" s="775"/>
    </row>
    <row r="143" spans="1:42" s="141" customFormat="1" ht="59.1" customHeight="1">
      <c r="A143" s="868"/>
      <c r="B143" s="868"/>
      <c r="C143" s="867"/>
      <c r="D143" s="868"/>
      <c r="E143" s="868"/>
      <c r="F143" s="882"/>
      <c r="G143" s="875"/>
      <c r="H143" s="870"/>
      <c r="I143" s="775" t="s">
        <v>616</v>
      </c>
      <c r="J143" s="658">
        <f>VLOOKUP($I143,Prices!A:B,2,0)</f>
        <v>0</v>
      </c>
      <c r="K143" s="790">
        <f>VLOOKUP(I143,Prices!A:C,3,0)</f>
        <v>0</v>
      </c>
      <c r="L143" s="788">
        <v>500000</v>
      </c>
      <c r="M143" s="788">
        <v>500000</v>
      </c>
      <c r="N143" s="707">
        <f>VLOOKUP($I143,Prices!A:D,4,0)</f>
        <v>13.2</v>
      </c>
      <c r="O143" s="772">
        <f t="shared" si="13"/>
        <v>6600000</v>
      </c>
      <c r="P143" s="793">
        <f t="shared" si="14"/>
        <v>6600000</v>
      </c>
      <c r="Q143" s="869"/>
      <c r="R143" s="869"/>
      <c r="S143" s="886"/>
      <c r="T143" s="870"/>
      <c r="U143" s="854"/>
      <c r="V143" s="882"/>
      <c r="W143" s="882"/>
      <c r="X143" s="900"/>
      <c r="Y143" s="902"/>
      <c r="Z143" s="870"/>
      <c r="AA143" s="899"/>
      <c r="AB143" s="775"/>
      <c r="AC143" s="775"/>
      <c r="AD143" s="775"/>
      <c r="AE143" s="775"/>
      <c r="AF143" s="775"/>
      <c r="AG143" s="775"/>
      <c r="AH143" s="775"/>
      <c r="AI143" s="775"/>
      <c r="AJ143" s="775"/>
      <c r="AK143" s="775"/>
      <c r="AL143" s="775"/>
      <c r="AM143" s="775"/>
      <c r="AN143" s="775"/>
      <c r="AO143" s="775"/>
      <c r="AP143" s="775"/>
    </row>
    <row r="144" spans="1:42" ht="224.25" customHeight="1">
      <c r="A144" s="767" t="s">
        <v>617</v>
      </c>
      <c r="B144" s="767" t="s">
        <v>618</v>
      </c>
      <c r="C144" s="767" t="s">
        <v>619</v>
      </c>
      <c r="D144" s="767" t="s">
        <v>190</v>
      </c>
      <c r="E144" s="767" t="s">
        <v>199</v>
      </c>
      <c r="F144" s="773" t="s">
        <v>620</v>
      </c>
      <c r="G144" s="770">
        <v>8000000</v>
      </c>
      <c r="H144" s="761" t="s">
        <v>621</v>
      </c>
      <c r="I144" s="767" t="s">
        <v>194</v>
      </c>
      <c r="J144" s="658" t="str">
        <f>VLOOKUP($I144,Prices!A:B,2,0)</f>
        <v>.</v>
      </c>
      <c r="K144" s="790" t="s">
        <v>194</v>
      </c>
      <c r="L144" s="651" t="s">
        <v>194</v>
      </c>
      <c r="M144" s="651" t="s">
        <v>194</v>
      </c>
      <c r="N144" s="647" t="str">
        <f>VLOOKUP($I144,Prices!A:D,4,0)</f>
        <v>.</v>
      </c>
      <c r="O144" s="772" t="s">
        <v>194</v>
      </c>
      <c r="P144" s="793" t="s">
        <v>194</v>
      </c>
      <c r="Q144" s="769">
        <f t="shared" ref="Q144:Q148" si="15">G144</f>
        <v>8000000</v>
      </c>
      <c r="R144" s="769">
        <f>Q144/VLOOKUP(H144,'Currency Conversion'!B:C,2,0)</f>
        <v>1075384.449940854</v>
      </c>
      <c r="S144" s="763" t="s">
        <v>194</v>
      </c>
      <c r="T144" s="761" t="s">
        <v>195</v>
      </c>
      <c r="U144" s="756" t="s">
        <v>622</v>
      </c>
      <c r="V144" s="765" t="s">
        <v>194</v>
      </c>
      <c r="W144" s="765" t="s">
        <v>194</v>
      </c>
      <c r="X144" s="811" t="s">
        <v>194</v>
      </c>
      <c r="Y144" s="759">
        <v>0</v>
      </c>
      <c r="Z144" s="761">
        <v>0</v>
      </c>
      <c r="AA144" s="802" t="s">
        <v>194</v>
      </c>
      <c r="AB144" s="767"/>
      <c r="AC144" s="767"/>
      <c r="AD144" s="767"/>
      <c r="AE144" s="767"/>
      <c r="AF144" s="767"/>
      <c r="AG144" s="767"/>
      <c r="AH144" s="767"/>
      <c r="AI144" s="767"/>
      <c r="AJ144" s="767"/>
      <c r="AK144" s="767"/>
      <c r="AL144" s="767"/>
      <c r="AM144" s="767"/>
      <c r="AN144" s="767"/>
      <c r="AO144" s="767"/>
      <c r="AP144" s="767"/>
    </row>
    <row r="145" spans="1:42" ht="63.95" customHeight="1">
      <c r="A145" s="767" t="s">
        <v>623</v>
      </c>
      <c r="B145" s="767" t="s">
        <v>618</v>
      </c>
      <c r="C145" s="767" t="s">
        <v>619</v>
      </c>
      <c r="D145" s="767" t="s">
        <v>190</v>
      </c>
      <c r="E145" s="767" t="s">
        <v>624</v>
      </c>
      <c r="F145" s="787" t="s">
        <v>625</v>
      </c>
      <c r="G145" s="770">
        <v>20000000</v>
      </c>
      <c r="H145" s="761" t="s">
        <v>621</v>
      </c>
      <c r="I145" s="767" t="s">
        <v>194</v>
      </c>
      <c r="J145" s="658" t="str">
        <f>VLOOKUP($I145,Prices!A:B,2,0)</f>
        <v>.</v>
      </c>
      <c r="K145" s="790" t="s">
        <v>194</v>
      </c>
      <c r="L145" s="651" t="s">
        <v>194</v>
      </c>
      <c r="M145" s="651" t="s">
        <v>194</v>
      </c>
      <c r="N145" s="708" t="str">
        <f>VLOOKUP($I145,Prices!A:D,4,0)</f>
        <v>.</v>
      </c>
      <c r="O145" s="772" t="s">
        <v>194</v>
      </c>
      <c r="P145" s="793" t="s">
        <v>194</v>
      </c>
      <c r="Q145" s="769">
        <f t="shared" si="15"/>
        <v>20000000</v>
      </c>
      <c r="R145" s="769">
        <f>Q145/VLOOKUP(H145,'Currency Conversion'!B:C,2,0)</f>
        <v>2688461.1248521348</v>
      </c>
      <c r="S145" s="763" t="s">
        <v>194</v>
      </c>
      <c r="T145" s="761" t="s">
        <v>195</v>
      </c>
      <c r="U145" s="756" t="s">
        <v>622</v>
      </c>
      <c r="V145" s="765" t="s">
        <v>194</v>
      </c>
      <c r="W145" s="765" t="s">
        <v>194</v>
      </c>
      <c r="X145" s="811" t="s">
        <v>194</v>
      </c>
      <c r="Y145" s="759">
        <v>0</v>
      </c>
      <c r="Z145" s="761">
        <v>0</v>
      </c>
      <c r="AA145" s="802" t="s">
        <v>194</v>
      </c>
      <c r="AB145" s="767"/>
      <c r="AC145" s="767"/>
      <c r="AD145" s="767"/>
      <c r="AE145" s="767"/>
      <c r="AF145" s="767"/>
      <c r="AG145" s="767"/>
      <c r="AH145" s="767"/>
      <c r="AI145" s="767"/>
      <c r="AJ145" s="767"/>
      <c r="AK145" s="767"/>
      <c r="AL145" s="767"/>
      <c r="AM145" s="767"/>
      <c r="AN145" s="767"/>
      <c r="AO145" s="767"/>
      <c r="AP145" s="767"/>
    </row>
    <row r="146" spans="1:42" ht="63" customHeight="1">
      <c r="A146" s="767" t="s">
        <v>626</v>
      </c>
      <c r="B146" s="767" t="s">
        <v>618</v>
      </c>
      <c r="C146" s="767" t="s">
        <v>619</v>
      </c>
      <c r="D146" s="767" t="s">
        <v>190</v>
      </c>
      <c r="E146" s="767" t="s">
        <v>191</v>
      </c>
      <c r="F146" s="787" t="s">
        <v>627</v>
      </c>
      <c r="G146" s="770">
        <v>10000000</v>
      </c>
      <c r="H146" s="761" t="s">
        <v>621</v>
      </c>
      <c r="I146" s="767" t="s">
        <v>194</v>
      </c>
      <c r="J146" s="658" t="str">
        <f>VLOOKUP($I146,Prices!A:B,2,0)</f>
        <v>.</v>
      </c>
      <c r="K146" s="790" t="s">
        <v>194</v>
      </c>
      <c r="L146" s="651" t="s">
        <v>194</v>
      </c>
      <c r="M146" s="651" t="s">
        <v>194</v>
      </c>
      <c r="N146" s="647" t="str">
        <f>VLOOKUP($I146,Prices!A:D,4,0)</f>
        <v>.</v>
      </c>
      <c r="O146" s="772" t="s">
        <v>194</v>
      </c>
      <c r="P146" s="793" t="s">
        <v>194</v>
      </c>
      <c r="Q146" s="769">
        <f t="shared" si="15"/>
        <v>10000000</v>
      </c>
      <c r="R146" s="769">
        <f>Q146/VLOOKUP(H146,'Currency Conversion'!B:C,2,0)</f>
        <v>1344230.5624260674</v>
      </c>
      <c r="S146" s="763" t="s">
        <v>194</v>
      </c>
      <c r="T146" s="761" t="s">
        <v>195</v>
      </c>
      <c r="U146" s="756" t="s">
        <v>622</v>
      </c>
      <c r="V146" s="765" t="s">
        <v>194</v>
      </c>
      <c r="W146" s="765" t="s">
        <v>194</v>
      </c>
      <c r="X146" s="811" t="s">
        <v>194</v>
      </c>
      <c r="Y146" s="759">
        <v>0</v>
      </c>
      <c r="Z146" s="761">
        <v>0</v>
      </c>
      <c r="AA146" s="802" t="s">
        <v>194</v>
      </c>
      <c r="AB146" s="767"/>
      <c r="AC146" s="767"/>
      <c r="AD146" s="767"/>
      <c r="AE146" s="767"/>
      <c r="AF146" s="767"/>
      <c r="AG146" s="767"/>
      <c r="AH146" s="767"/>
      <c r="AI146" s="767"/>
      <c r="AJ146" s="767"/>
      <c r="AK146" s="767"/>
      <c r="AL146" s="767"/>
      <c r="AM146" s="767"/>
      <c r="AN146" s="767"/>
      <c r="AO146" s="767"/>
      <c r="AP146" s="767"/>
    </row>
    <row r="147" spans="1:42" ht="48" customHeight="1">
      <c r="A147" s="766" t="s">
        <v>628</v>
      </c>
      <c r="B147" s="766" t="s">
        <v>618</v>
      </c>
      <c r="C147" s="766" t="s">
        <v>619</v>
      </c>
      <c r="D147" s="766" t="s">
        <v>190</v>
      </c>
      <c r="E147" s="766" t="s">
        <v>199</v>
      </c>
      <c r="F147" s="787" t="s">
        <v>629</v>
      </c>
      <c r="G147" s="807">
        <v>50000000</v>
      </c>
      <c r="H147" s="759" t="s">
        <v>621</v>
      </c>
      <c r="I147" s="766" t="s">
        <v>194</v>
      </c>
      <c r="J147" s="658" t="str">
        <f>VLOOKUP($I147,Prices!A:B,2,0)</f>
        <v>.</v>
      </c>
      <c r="K147" s="790" t="s">
        <v>194</v>
      </c>
      <c r="L147" s="665" t="s">
        <v>194</v>
      </c>
      <c r="M147" s="665" t="s">
        <v>194</v>
      </c>
      <c r="N147" s="708" t="str">
        <f>VLOOKUP($I147,Prices!A:D,4,0)</f>
        <v>.</v>
      </c>
      <c r="O147" s="772" t="s">
        <v>194</v>
      </c>
      <c r="P147" s="793" t="s">
        <v>194</v>
      </c>
      <c r="Q147" s="778">
        <f t="shared" si="15"/>
        <v>50000000</v>
      </c>
      <c r="R147" s="778">
        <f>Q147/VLOOKUP(H147, 'Currency Conversion'!B:C, 2, 0)</f>
        <v>6721152.8121303366</v>
      </c>
      <c r="S147" s="790" t="s">
        <v>194</v>
      </c>
      <c r="T147" s="759" t="s">
        <v>240</v>
      </c>
      <c r="U147" s="756" t="s">
        <v>622</v>
      </c>
      <c r="V147" s="765" t="s">
        <v>194</v>
      </c>
      <c r="W147" s="765" t="s">
        <v>194</v>
      </c>
      <c r="X147" s="811" t="s">
        <v>194</v>
      </c>
      <c r="Y147" s="759">
        <v>0</v>
      </c>
      <c r="Z147" s="759">
        <v>0</v>
      </c>
      <c r="AA147" s="813" t="s">
        <v>194</v>
      </c>
      <c r="AB147" s="767"/>
      <c r="AC147" s="767"/>
      <c r="AD147" s="767"/>
      <c r="AE147" s="767"/>
      <c r="AF147" s="767"/>
      <c r="AG147" s="767"/>
      <c r="AH147" s="767"/>
      <c r="AI147" s="767"/>
      <c r="AJ147" s="767"/>
      <c r="AK147" s="767"/>
      <c r="AL147" s="767"/>
      <c r="AM147" s="767"/>
      <c r="AN147" s="767"/>
      <c r="AO147" s="767"/>
      <c r="AP147" s="767"/>
    </row>
    <row r="148" spans="1:42" ht="53.1" customHeight="1">
      <c r="A148" s="766" t="s">
        <v>630</v>
      </c>
      <c r="B148" s="766" t="s">
        <v>618</v>
      </c>
      <c r="C148" s="776">
        <v>44621</v>
      </c>
      <c r="D148" s="766" t="s">
        <v>190</v>
      </c>
      <c r="E148" s="766" t="s">
        <v>199</v>
      </c>
      <c r="F148" s="787" t="s">
        <v>631</v>
      </c>
      <c r="G148" s="807">
        <v>50000000</v>
      </c>
      <c r="H148" s="759" t="s">
        <v>621</v>
      </c>
      <c r="I148" s="766" t="s">
        <v>194</v>
      </c>
      <c r="J148" s="658" t="str">
        <f>VLOOKUP($I148,Prices!A:B,2,0)</f>
        <v>.</v>
      </c>
      <c r="K148" s="790" t="s">
        <v>194</v>
      </c>
      <c r="L148" s="665" t="s">
        <v>194</v>
      </c>
      <c r="M148" s="665" t="s">
        <v>194</v>
      </c>
      <c r="N148" s="647" t="str">
        <f>VLOOKUP($I148,Prices!A:D,4,0)</f>
        <v>.</v>
      </c>
      <c r="O148" s="772" t="s">
        <v>194</v>
      </c>
      <c r="P148" s="793" t="s">
        <v>194</v>
      </c>
      <c r="Q148" s="778">
        <f t="shared" si="15"/>
        <v>50000000</v>
      </c>
      <c r="R148" s="778">
        <f>Q148/VLOOKUP(H148, 'Currency Conversion'!B:C, 2, 0)</f>
        <v>6721152.8121303366</v>
      </c>
      <c r="S148" s="790" t="s">
        <v>194</v>
      </c>
      <c r="T148" s="759" t="s">
        <v>195</v>
      </c>
      <c r="U148" s="756" t="s">
        <v>632</v>
      </c>
      <c r="V148" s="765" t="s">
        <v>194</v>
      </c>
      <c r="W148" s="765" t="s">
        <v>194</v>
      </c>
      <c r="X148" s="811" t="s">
        <v>194</v>
      </c>
      <c r="Y148" s="759">
        <v>0</v>
      </c>
      <c r="Z148" s="759">
        <v>0</v>
      </c>
      <c r="AA148" s="813" t="s">
        <v>194</v>
      </c>
      <c r="AB148" s="767"/>
      <c r="AC148" s="767"/>
      <c r="AD148" s="767"/>
      <c r="AE148" s="767"/>
      <c r="AF148" s="767"/>
      <c r="AG148" s="767"/>
      <c r="AH148" s="767"/>
      <c r="AI148" s="767"/>
      <c r="AJ148" s="767"/>
      <c r="AK148" s="767"/>
      <c r="AL148" s="767"/>
      <c r="AM148" s="767"/>
      <c r="AN148" s="767"/>
      <c r="AO148" s="767"/>
      <c r="AP148" s="767"/>
    </row>
    <row r="149" spans="1:42" ht="53.1" customHeight="1">
      <c r="A149" s="766" t="s">
        <v>633</v>
      </c>
      <c r="B149" s="766" t="s">
        <v>618</v>
      </c>
      <c r="C149" s="776" t="s">
        <v>634</v>
      </c>
      <c r="D149" s="766" t="s">
        <v>190</v>
      </c>
      <c r="E149" s="766" t="s">
        <v>191</v>
      </c>
      <c r="F149" s="787" t="s">
        <v>635</v>
      </c>
      <c r="G149" s="807">
        <v>140000000</v>
      </c>
      <c r="H149" s="759" t="s">
        <v>621</v>
      </c>
      <c r="I149" s="766" t="s">
        <v>194</v>
      </c>
      <c r="J149" s="658" t="str">
        <f>VLOOKUP($I149,Prices!A:B,2,0)</f>
        <v>.</v>
      </c>
      <c r="K149" s="790" t="s">
        <v>194</v>
      </c>
      <c r="L149" s="665" t="s">
        <v>194</v>
      </c>
      <c r="M149" s="665" t="s">
        <v>194</v>
      </c>
      <c r="N149" s="708" t="str">
        <f>VLOOKUP($I149,Prices!A:D,4,0)</f>
        <v>.</v>
      </c>
      <c r="O149" s="772" t="s">
        <v>194</v>
      </c>
      <c r="P149" s="793" t="s">
        <v>194</v>
      </c>
      <c r="Q149" s="778">
        <f t="shared" ref="Q149:Q150" si="16">G149</f>
        <v>140000000</v>
      </c>
      <c r="R149" s="778">
        <f>Q149/VLOOKUP(H149, 'Currency Conversion'!B:C, 2, 0)</f>
        <v>18819227.873964943</v>
      </c>
      <c r="S149" s="790" t="s">
        <v>194</v>
      </c>
      <c r="T149" s="759" t="s">
        <v>240</v>
      </c>
      <c r="U149" s="756" t="s">
        <v>636</v>
      </c>
      <c r="V149" s="674" t="s">
        <v>194</v>
      </c>
      <c r="W149" s="675" t="s">
        <v>194</v>
      </c>
      <c r="X149" s="778" t="s">
        <v>194</v>
      </c>
      <c r="Y149" s="759">
        <v>0</v>
      </c>
      <c r="Z149" s="759">
        <v>0</v>
      </c>
      <c r="AA149" s="813" t="s">
        <v>194</v>
      </c>
      <c r="AB149" s="767"/>
      <c r="AC149" s="767"/>
      <c r="AD149" s="767"/>
      <c r="AE149" s="767"/>
      <c r="AF149" s="767"/>
      <c r="AG149" s="767"/>
      <c r="AH149" s="767"/>
      <c r="AI149" s="767"/>
      <c r="AJ149" s="767"/>
      <c r="AK149" s="767"/>
      <c r="AL149" s="767"/>
      <c r="AM149" s="767"/>
      <c r="AN149" s="767"/>
      <c r="AO149" s="767"/>
      <c r="AP149" s="767"/>
    </row>
    <row r="150" spans="1:42" s="141" customFormat="1" ht="23.25" customHeight="1">
      <c r="A150" s="868" t="s">
        <v>637</v>
      </c>
      <c r="B150" s="873" t="s">
        <v>618</v>
      </c>
      <c r="C150" s="874">
        <v>44672</v>
      </c>
      <c r="D150" s="868" t="s">
        <v>212</v>
      </c>
      <c r="E150" s="868" t="s">
        <v>213</v>
      </c>
      <c r="F150" s="890" t="s">
        <v>638</v>
      </c>
      <c r="G150" s="875">
        <v>1000000000</v>
      </c>
      <c r="H150" s="870" t="s">
        <v>621</v>
      </c>
      <c r="I150" s="775" t="s">
        <v>323</v>
      </c>
      <c r="J150" s="658">
        <f>VLOOKUP($I150,Prices!A:B,2,0)</f>
        <v>3</v>
      </c>
      <c r="K150" s="790">
        <f>VLOOKUP(I150,Prices!A:C,3,0)</f>
        <v>0</v>
      </c>
      <c r="L150" s="788">
        <v>2700</v>
      </c>
      <c r="M150" s="788">
        <v>2700</v>
      </c>
      <c r="N150" s="647">
        <f>VLOOKUP($I150,Prices!A:D,4,0)</f>
        <v>2000</v>
      </c>
      <c r="O150" s="772">
        <f t="shared" si="13"/>
        <v>5400000</v>
      </c>
      <c r="P150" s="793">
        <f t="shared" si="14"/>
        <v>5400000</v>
      </c>
      <c r="Q150" s="887">
        <f t="shared" si="16"/>
        <v>1000000000</v>
      </c>
      <c r="R150" s="887">
        <f>Q150/VLOOKUP(H150, 'Currency Conversion'!B:C, 2, 0)</f>
        <v>134423056.24260673</v>
      </c>
      <c r="S150" s="865">
        <f>SUM(P150:P158)/'Currency Conversion'!C4</f>
        <v>39869412.878787875</v>
      </c>
      <c r="T150" s="870" t="s">
        <v>325</v>
      </c>
      <c r="U150" s="854" t="s">
        <v>639</v>
      </c>
      <c r="V150" s="854" t="s">
        <v>640</v>
      </c>
      <c r="W150" s="854" t="s">
        <v>641</v>
      </c>
      <c r="X150" s="883" t="s">
        <v>642</v>
      </c>
      <c r="Y150" s="870">
        <v>0</v>
      </c>
      <c r="Z150" s="870">
        <v>0</v>
      </c>
      <c r="AA150" s="758" t="s">
        <v>643</v>
      </c>
      <c r="AB150" s="775"/>
      <c r="AC150" s="775"/>
      <c r="AD150" s="775"/>
      <c r="AE150" s="775"/>
      <c r="AF150" s="775"/>
      <c r="AG150" s="775"/>
      <c r="AH150" s="775"/>
      <c r="AI150" s="775"/>
      <c r="AJ150" s="775"/>
      <c r="AK150" s="775"/>
      <c r="AL150" s="775"/>
      <c r="AM150" s="775"/>
      <c r="AN150" s="775"/>
      <c r="AO150" s="775"/>
      <c r="AP150" s="775"/>
    </row>
    <row r="151" spans="1:42" s="141" customFormat="1" ht="23.25" customHeight="1">
      <c r="A151" s="868"/>
      <c r="B151" s="873"/>
      <c r="C151" s="874"/>
      <c r="D151" s="868"/>
      <c r="E151" s="868"/>
      <c r="F151" s="890"/>
      <c r="G151" s="875"/>
      <c r="H151" s="870"/>
      <c r="I151" s="775" t="s">
        <v>644</v>
      </c>
      <c r="J151" s="658">
        <f>VLOOKUP($I151,Prices!A:B,2,0)</f>
        <v>3</v>
      </c>
      <c r="K151" s="790">
        <f>VLOOKUP(I151,Prices!A:C,3,0)</f>
        <v>0</v>
      </c>
      <c r="L151" s="788">
        <v>300</v>
      </c>
      <c r="M151" s="788">
        <v>300</v>
      </c>
      <c r="N151" s="707">
        <f>VLOOKUP($I151,Prices!A:D,4,0)</f>
        <v>119000</v>
      </c>
      <c r="O151" s="772">
        <f t="shared" si="13"/>
        <v>35700000</v>
      </c>
      <c r="P151" s="793">
        <f t="shared" si="14"/>
        <v>35700000</v>
      </c>
      <c r="Q151" s="887"/>
      <c r="R151" s="887"/>
      <c r="S151" s="865"/>
      <c r="T151" s="870"/>
      <c r="U151" s="854"/>
      <c r="V151" s="854"/>
      <c r="W151" s="854"/>
      <c r="X151" s="883"/>
      <c r="Y151" s="870"/>
      <c r="Z151" s="870"/>
      <c r="AA151" s="758" t="s">
        <v>645</v>
      </c>
      <c r="AB151" s="775"/>
      <c r="AC151" s="775"/>
      <c r="AD151" s="775"/>
      <c r="AE151" s="775"/>
      <c r="AF151" s="775"/>
      <c r="AG151" s="775"/>
      <c r="AH151" s="775"/>
      <c r="AI151" s="775"/>
      <c r="AJ151" s="775"/>
      <c r="AK151" s="775"/>
      <c r="AL151" s="775"/>
      <c r="AM151" s="775"/>
      <c r="AN151" s="775"/>
      <c r="AO151" s="775"/>
      <c r="AP151" s="775"/>
    </row>
    <row r="152" spans="1:42" s="141" customFormat="1" ht="23.25" customHeight="1">
      <c r="A152" s="868"/>
      <c r="B152" s="873"/>
      <c r="C152" s="874"/>
      <c r="D152" s="868"/>
      <c r="E152" s="868"/>
      <c r="F152" s="890"/>
      <c r="G152" s="875"/>
      <c r="H152" s="870"/>
      <c r="I152" s="775" t="s">
        <v>646</v>
      </c>
      <c r="J152" s="658">
        <f>VLOOKUP($I152,Prices!A:B,2,0)</f>
        <v>5</v>
      </c>
      <c r="K152" s="790">
        <f>VLOOKUP(I152,Prices!A:C,3,0)</f>
        <v>0</v>
      </c>
      <c r="L152" s="788">
        <v>25</v>
      </c>
      <c r="M152" s="788">
        <v>25</v>
      </c>
      <c r="N152" s="647" t="str">
        <f>VLOOKUP($I152,Prices!A:D,4,0)</f>
        <v>.</v>
      </c>
      <c r="O152" s="772" t="s">
        <v>194</v>
      </c>
      <c r="P152" s="793" t="s">
        <v>194</v>
      </c>
      <c r="Q152" s="887"/>
      <c r="R152" s="887"/>
      <c r="S152" s="865"/>
      <c r="T152" s="870"/>
      <c r="U152" s="854"/>
      <c r="V152" s="854"/>
      <c r="W152" s="854"/>
      <c r="X152" s="883"/>
      <c r="Y152" s="870"/>
      <c r="Z152" s="870"/>
      <c r="AA152" s="758" t="s">
        <v>642</v>
      </c>
      <c r="AB152" s="775"/>
      <c r="AC152" s="775"/>
      <c r="AD152" s="775"/>
      <c r="AE152" s="775"/>
      <c r="AF152" s="775"/>
      <c r="AG152" s="775"/>
      <c r="AH152" s="775"/>
      <c r="AI152" s="775"/>
      <c r="AJ152" s="775"/>
      <c r="AK152" s="775"/>
      <c r="AL152" s="775"/>
      <c r="AM152" s="775"/>
      <c r="AN152" s="775"/>
      <c r="AO152" s="775"/>
      <c r="AP152" s="775"/>
    </row>
    <row r="153" spans="1:42" s="141" customFormat="1" ht="17.25" customHeight="1">
      <c r="A153" s="868"/>
      <c r="B153" s="873"/>
      <c r="C153" s="874"/>
      <c r="D153" s="868"/>
      <c r="E153" s="868"/>
      <c r="F153" s="890"/>
      <c r="G153" s="875"/>
      <c r="H153" s="870"/>
      <c r="I153" s="775" t="s">
        <v>348</v>
      </c>
      <c r="J153" s="658">
        <f>VLOOKUP($I153,Prices!A:B,2,0)</f>
        <v>1</v>
      </c>
      <c r="K153" s="790">
        <f>VLOOKUP(I153,Prices!A:C,3,0)</f>
        <v>0</v>
      </c>
      <c r="L153" s="788">
        <v>2000</v>
      </c>
      <c r="M153" s="788">
        <v>2000</v>
      </c>
      <c r="N153" s="707">
        <f>VLOOKUP($I153,Prices!A:D,4,0)</f>
        <v>500</v>
      </c>
      <c r="O153" s="772">
        <f t="shared" si="13"/>
        <v>1000000</v>
      </c>
      <c r="P153" s="793">
        <f t="shared" si="14"/>
        <v>1000000</v>
      </c>
      <c r="Q153" s="887"/>
      <c r="R153" s="887"/>
      <c r="S153" s="865"/>
      <c r="T153" s="870"/>
      <c r="U153" s="854"/>
      <c r="V153" s="854"/>
      <c r="W153" s="854"/>
      <c r="X153" s="883"/>
      <c r="Y153" s="870"/>
      <c r="Z153" s="870"/>
      <c r="AA153" s="897" t="s">
        <v>641</v>
      </c>
      <c r="AB153" s="775"/>
      <c r="AC153" s="775"/>
      <c r="AD153" s="775"/>
      <c r="AE153" s="775"/>
      <c r="AF153" s="775"/>
      <c r="AG153" s="775"/>
      <c r="AH153" s="775"/>
      <c r="AI153" s="775"/>
      <c r="AJ153" s="775"/>
      <c r="AK153" s="775"/>
      <c r="AL153" s="775"/>
      <c r="AM153" s="775"/>
      <c r="AN153" s="775"/>
      <c r="AO153" s="775"/>
      <c r="AP153" s="775"/>
    </row>
    <row r="154" spans="1:42" s="141" customFormat="1" ht="17.25" customHeight="1">
      <c r="A154" s="868"/>
      <c r="B154" s="873"/>
      <c r="C154" s="874"/>
      <c r="D154" s="868"/>
      <c r="E154" s="868"/>
      <c r="F154" s="890"/>
      <c r="G154" s="875"/>
      <c r="H154" s="870"/>
      <c r="I154" s="775" t="s">
        <v>647</v>
      </c>
      <c r="J154" s="658">
        <f>VLOOKUP($I154,Prices!A:B,2,0)</f>
        <v>1</v>
      </c>
      <c r="K154" s="790">
        <f>VLOOKUP(I154,Prices!A:C,3,0)</f>
        <v>0</v>
      </c>
      <c r="L154" s="788">
        <v>700</v>
      </c>
      <c r="M154" s="788">
        <v>700</v>
      </c>
      <c r="N154" s="647">
        <f>VLOOKUP($I154,Prices!A:D,4,0)</f>
        <v>3</v>
      </c>
      <c r="O154" s="772">
        <f t="shared" si="13"/>
        <v>2100</v>
      </c>
      <c r="P154" s="793">
        <f t="shared" si="14"/>
        <v>2100</v>
      </c>
      <c r="Q154" s="887"/>
      <c r="R154" s="887"/>
      <c r="S154" s="865"/>
      <c r="T154" s="870"/>
      <c r="U154" s="854"/>
      <c r="V154" s="854"/>
      <c r="W154" s="854"/>
      <c r="X154" s="883"/>
      <c r="Y154" s="870"/>
      <c r="Z154" s="870"/>
      <c r="AA154" s="897"/>
      <c r="AB154" s="775"/>
      <c r="AC154" s="775"/>
      <c r="AD154" s="775"/>
      <c r="AE154" s="775"/>
      <c r="AF154" s="775"/>
      <c r="AG154" s="775"/>
      <c r="AH154" s="775"/>
      <c r="AI154" s="775"/>
      <c r="AJ154" s="775"/>
      <c r="AK154" s="775"/>
      <c r="AL154" s="775"/>
      <c r="AM154" s="775"/>
      <c r="AN154" s="775"/>
      <c r="AO154" s="775"/>
      <c r="AP154" s="775"/>
    </row>
    <row r="155" spans="1:42" s="141" customFormat="1" ht="17.25" customHeight="1">
      <c r="A155" s="868"/>
      <c r="B155" s="873"/>
      <c r="C155" s="874"/>
      <c r="D155" s="868"/>
      <c r="E155" s="868"/>
      <c r="F155" s="890"/>
      <c r="G155" s="875"/>
      <c r="H155" s="870"/>
      <c r="I155" s="775" t="s">
        <v>252</v>
      </c>
      <c r="J155" s="658">
        <f>VLOOKUP($I155,Prices!A:B,2,0)</f>
        <v>4</v>
      </c>
      <c r="K155" s="790">
        <f>VLOOKUP(I155,Prices!A:C,3,0)</f>
        <v>0</v>
      </c>
      <c r="L155" s="788">
        <v>50</v>
      </c>
      <c r="M155" s="788" t="s">
        <v>194</v>
      </c>
      <c r="N155" s="707">
        <f>VLOOKUP($I155,Prices!A:D,4,0)</f>
        <v>300000</v>
      </c>
      <c r="O155" s="772">
        <f t="shared" si="13"/>
        <v>15000000</v>
      </c>
      <c r="P155" s="793" t="s">
        <v>194</v>
      </c>
      <c r="Q155" s="887"/>
      <c r="R155" s="887"/>
      <c r="S155" s="865"/>
      <c r="T155" s="870"/>
      <c r="U155" s="854"/>
      <c r="V155" s="854"/>
      <c r="W155" s="854"/>
      <c r="X155" s="883"/>
      <c r="Y155" s="870"/>
      <c r="Z155" s="870"/>
      <c r="AA155" s="898" t="s">
        <v>194</v>
      </c>
      <c r="AB155" s="775"/>
      <c r="AC155" s="775"/>
      <c r="AD155" s="775"/>
      <c r="AE155" s="775"/>
      <c r="AF155" s="775"/>
      <c r="AG155" s="775"/>
      <c r="AH155" s="775"/>
      <c r="AI155" s="775"/>
      <c r="AJ155" s="775"/>
      <c r="AK155" s="775"/>
      <c r="AL155" s="775"/>
      <c r="AM155" s="775"/>
      <c r="AN155" s="775"/>
      <c r="AO155" s="775"/>
      <c r="AP155" s="775"/>
    </row>
    <row r="156" spans="1:42" s="141" customFormat="1" ht="21.75" customHeight="1">
      <c r="A156" s="868"/>
      <c r="B156" s="873"/>
      <c r="C156" s="874"/>
      <c r="D156" s="868"/>
      <c r="E156" s="868"/>
      <c r="F156" s="890"/>
      <c r="G156" s="875"/>
      <c r="H156" s="870"/>
      <c r="I156" s="775" t="s">
        <v>648</v>
      </c>
      <c r="J156" s="658">
        <f>VLOOKUP($I156,Prices!A:B,2,0)</f>
        <v>2.5</v>
      </c>
      <c r="K156" s="790">
        <f>VLOOKUP(I156,Prices!A:C,3,0)</f>
        <v>0</v>
      </c>
      <c r="L156" s="788" t="s">
        <v>224</v>
      </c>
      <c r="M156" s="788" t="s">
        <v>194</v>
      </c>
      <c r="N156" s="647">
        <f>VLOOKUP($I156,Prices!A:D,4,0)</f>
        <v>16.5</v>
      </c>
      <c r="O156" s="772" t="s">
        <v>194</v>
      </c>
      <c r="P156" s="793" t="s">
        <v>194</v>
      </c>
      <c r="Q156" s="887"/>
      <c r="R156" s="887"/>
      <c r="S156" s="865"/>
      <c r="T156" s="870"/>
      <c r="U156" s="854"/>
      <c r="V156" s="854"/>
      <c r="W156" s="854"/>
      <c r="X156" s="883"/>
      <c r="Y156" s="870"/>
      <c r="Z156" s="870"/>
      <c r="AA156" s="898"/>
      <c r="AB156" s="775"/>
      <c r="AC156" s="775"/>
      <c r="AD156" s="775"/>
      <c r="AE156" s="775"/>
      <c r="AF156" s="775"/>
      <c r="AG156" s="775"/>
      <c r="AH156" s="775"/>
      <c r="AI156" s="775"/>
      <c r="AJ156" s="775"/>
      <c r="AK156" s="775"/>
      <c r="AL156" s="775"/>
      <c r="AM156" s="775"/>
      <c r="AN156" s="775"/>
      <c r="AO156" s="775"/>
      <c r="AP156" s="775"/>
    </row>
    <row r="157" spans="1:42" s="141" customFormat="1" ht="21.75" customHeight="1">
      <c r="A157" s="868"/>
      <c r="B157" s="873"/>
      <c r="C157" s="874"/>
      <c r="D157" s="868"/>
      <c r="E157" s="868"/>
      <c r="F157" s="890"/>
      <c r="G157" s="875"/>
      <c r="H157" s="870"/>
      <c r="I157" s="775" t="s">
        <v>649</v>
      </c>
      <c r="J157" s="658">
        <f>VLOOKUP($I157,Prices!A:B,2,0)</f>
        <v>2</v>
      </c>
      <c r="K157" s="790">
        <f>VLOOKUP(I157,Prices!A:C,3,0)</f>
        <v>0</v>
      </c>
      <c r="L157" s="788" t="s">
        <v>224</v>
      </c>
      <c r="M157" s="788" t="s">
        <v>194</v>
      </c>
      <c r="N157" s="707" t="str">
        <f>VLOOKUP($I157,Prices!A:D,4,0)</f>
        <v>.</v>
      </c>
      <c r="O157" s="772" t="s">
        <v>194</v>
      </c>
      <c r="P157" s="793" t="s">
        <v>194</v>
      </c>
      <c r="Q157" s="887"/>
      <c r="R157" s="887"/>
      <c r="S157" s="865"/>
      <c r="T157" s="870"/>
      <c r="U157" s="854"/>
      <c r="V157" s="854"/>
      <c r="W157" s="854"/>
      <c r="X157" s="883"/>
      <c r="Y157" s="870"/>
      <c r="Z157" s="870"/>
      <c r="AA157" s="898"/>
      <c r="AB157" s="775"/>
      <c r="AC157" s="775"/>
      <c r="AD157" s="775"/>
      <c r="AE157" s="775"/>
      <c r="AF157" s="775"/>
      <c r="AG157" s="775"/>
      <c r="AH157" s="775"/>
      <c r="AI157" s="775"/>
      <c r="AJ157" s="775"/>
      <c r="AK157" s="775"/>
      <c r="AL157" s="775"/>
      <c r="AM157" s="775"/>
      <c r="AN157" s="775"/>
      <c r="AO157" s="775"/>
      <c r="AP157" s="775"/>
    </row>
    <row r="158" spans="1:42" s="141" customFormat="1" ht="30" customHeight="1">
      <c r="A158" s="868"/>
      <c r="B158" s="873"/>
      <c r="C158" s="874"/>
      <c r="D158" s="868"/>
      <c r="E158" s="868"/>
      <c r="F158" s="890"/>
      <c r="G158" s="875"/>
      <c r="H158" s="870"/>
      <c r="I158" s="775" t="s">
        <v>650</v>
      </c>
      <c r="J158" s="658">
        <f>VLOOKUP($I158,Prices!A:B,2,0)</f>
        <v>2.5</v>
      </c>
      <c r="K158" s="790">
        <f>VLOOKUP(I158,Prices!A:C,3,0)</f>
        <v>0</v>
      </c>
      <c r="L158" s="788" t="s">
        <v>224</v>
      </c>
      <c r="M158" s="788" t="s">
        <v>194</v>
      </c>
      <c r="N158" s="647" t="str">
        <f>VLOOKUP($I158,Prices!A:D,4,0)</f>
        <v>.</v>
      </c>
      <c r="O158" s="772" t="s">
        <v>194</v>
      </c>
      <c r="P158" s="793" t="s">
        <v>194</v>
      </c>
      <c r="Q158" s="887"/>
      <c r="R158" s="887"/>
      <c r="S158" s="865"/>
      <c r="T158" s="870"/>
      <c r="U158" s="854"/>
      <c r="V158" s="854"/>
      <c r="W158" s="854"/>
      <c r="X158" s="883"/>
      <c r="Y158" s="870"/>
      <c r="Z158" s="870"/>
      <c r="AA158" s="898"/>
      <c r="AB158" s="775"/>
      <c r="AC158" s="775"/>
      <c r="AD158" s="775"/>
      <c r="AE158" s="775"/>
      <c r="AF158" s="775"/>
      <c r="AG158" s="775"/>
      <c r="AH158" s="775"/>
      <c r="AI158" s="775"/>
      <c r="AJ158" s="775"/>
      <c r="AK158" s="775"/>
      <c r="AL158" s="775"/>
      <c r="AM158" s="775"/>
      <c r="AN158" s="775"/>
      <c r="AO158" s="775"/>
      <c r="AP158" s="775"/>
    </row>
    <row r="159" spans="1:42" s="141" customFormat="1" ht="30" customHeight="1">
      <c r="A159" s="868" t="s">
        <v>651</v>
      </c>
      <c r="B159" s="873" t="s">
        <v>618</v>
      </c>
      <c r="C159" s="874" t="s">
        <v>652</v>
      </c>
      <c r="D159" s="868" t="s">
        <v>212</v>
      </c>
      <c r="E159" s="868" t="s">
        <v>320</v>
      </c>
      <c r="F159" s="890" t="s">
        <v>653</v>
      </c>
      <c r="G159" s="875">
        <v>1000000000</v>
      </c>
      <c r="H159" s="870" t="s">
        <v>621</v>
      </c>
      <c r="I159" s="775" t="s">
        <v>654</v>
      </c>
      <c r="J159" s="658">
        <f>VLOOKUP($I159,Prices!A:B,2,0)</f>
        <v>4</v>
      </c>
      <c r="K159" s="790">
        <f>VLOOKUP(I159,Prices!A:C,3,0)</f>
        <v>0</v>
      </c>
      <c r="L159" s="788">
        <v>1</v>
      </c>
      <c r="M159" s="788">
        <v>1</v>
      </c>
      <c r="N159" s="647">
        <f>VLOOKUP($I159,Prices!A:D,4,0)</f>
        <v>29215940</v>
      </c>
      <c r="O159" s="772">
        <f t="shared" si="13"/>
        <v>29215940</v>
      </c>
      <c r="P159" s="793">
        <f t="shared" si="14"/>
        <v>29215940</v>
      </c>
      <c r="Q159" s="887">
        <f>G159</f>
        <v>1000000000</v>
      </c>
      <c r="R159" s="887">
        <f>Q159/VLOOKUP(H159, 'Currency Conversion'!B:C, 2, 0)</f>
        <v>134423056.24260673</v>
      </c>
      <c r="S159" s="886">
        <f>R159</f>
        <v>134423056.24260673</v>
      </c>
      <c r="T159" s="870" t="s">
        <v>298</v>
      </c>
      <c r="U159" s="854" t="s">
        <v>655</v>
      </c>
      <c r="V159" s="854" t="s">
        <v>656</v>
      </c>
      <c r="W159" s="854" t="s">
        <v>657</v>
      </c>
      <c r="X159" s="945" t="s">
        <v>658</v>
      </c>
      <c r="Y159" s="878">
        <v>0</v>
      </c>
      <c r="Z159" s="870">
        <v>1</v>
      </c>
      <c r="AA159" s="897" t="s">
        <v>659</v>
      </c>
      <c r="AB159" s="775"/>
      <c r="AC159" s="775"/>
      <c r="AD159" s="775"/>
      <c r="AE159" s="775"/>
      <c r="AF159" s="775"/>
      <c r="AG159" s="775"/>
      <c r="AH159" s="775"/>
      <c r="AI159" s="775"/>
      <c r="AJ159" s="775"/>
      <c r="AK159" s="775"/>
      <c r="AL159" s="775"/>
      <c r="AM159" s="775"/>
      <c r="AN159" s="775"/>
      <c r="AO159" s="775"/>
      <c r="AP159" s="775"/>
    </row>
    <row r="160" spans="1:42" s="141" customFormat="1" ht="55.5" customHeight="1">
      <c r="A160" s="868"/>
      <c r="B160" s="873"/>
      <c r="C160" s="874"/>
      <c r="D160" s="868"/>
      <c r="E160" s="868"/>
      <c r="F160" s="890"/>
      <c r="G160" s="875"/>
      <c r="H160" s="870"/>
      <c r="I160" s="775" t="s">
        <v>660</v>
      </c>
      <c r="J160" s="658">
        <f>VLOOKUP($I160,Prices!A:B,2,0)</f>
        <v>4.5</v>
      </c>
      <c r="K160" s="790">
        <f>VLOOKUP(I160,Prices!A:C,3,0)</f>
        <v>0</v>
      </c>
      <c r="L160" s="788" t="s">
        <v>224</v>
      </c>
      <c r="M160" s="788" t="s">
        <v>224</v>
      </c>
      <c r="N160" s="647">
        <f>VLOOKUP($I160,Prices!A:D,4,0)</f>
        <v>1406812</v>
      </c>
      <c r="O160" s="772" t="s">
        <v>194</v>
      </c>
      <c r="P160" s="793" t="s">
        <v>194</v>
      </c>
      <c r="Q160" s="887"/>
      <c r="R160" s="887"/>
      <c r="S160" s="886"/>
      <c r="T160" s="870"/>
      <c r="U160" s="854"/>
      <c r="V160" s="854"/>
      <c r="W160" s="854"/>
      <c r="X160" s="945"/>
      <c r="Y160" s="878"/>
      <c r="Z160" s="870"/>
      <c r="AA160" s="897"/>
      <c r="AB160" s="775"/>
      <c r="AC160" s="775"/>
      <c r="AD160" s="775"/>
      <c r="AE160" s="775"/>
      <c r="AF160" s="775"/>
      <c r="AG160" s="775"/>
      <c r="AH160" s="775"/>
      <c r="AI160" s="775"/>
      <c r="AJ160" s="775"/>
      <c r="AK160" s="775"/>
      <c r="AL160" s="775"/>
      <c r="AM160" s="775"/>
      <c r="AN160" s="775"/>
      <c r="AO160" s="775"/>
      <c r="AP160" s="775"/>
    </row>
    <row r="161" spans="1:42" s="141" customFormat="1" ht="55.5" customHeight="1">
      <c r="A161" s="868"/>
      <c r="B161" s="873"/>
      <c r="C161" s="874"/>
      <c r="D161" s="868"/>
      <c r="E161" s="868"/>
      <c r="F161" s="890"/>
      <c r="G161" s="875"/>
      <c r="H161" s="870"/>
      <c r="I161" s="775" t="s">
        <v>348</v>
      </c>
      <c r="J161" s="658">
        <f>VLOOKUP($I161,Prices!A:B,2,0)</f>
        <v>1</v>
      </c>
      <c r="K161" s="790">
        <f>VLOOKUP(I161,Prices!A:C,3,0)</f>
        <v>0</v>
      </c>
      <c r="L161" s="788" t="s">
        <v>224</v>
      </c>
      <c r="M161" s="788" t="s">
        <v>194</v>
      </c>
      <c r="N161" s="647">
        <f>VLOOKUP($I161,Prices!A:D,4,0)</f>
        <v>500</v>
      </c>
      <c r="O161" s="772" t="s">
        <v>194</v>
      </c>
      <c r="P161" s="793" t="s">
        <v>194</v>
      </c>
      <c r="Q161" s="887"/>
      <c r="R161" s="887"/>
      <c r="S161" s="886"/>
      <c r="T161" s="870"/>
      <c r="U161" s="854"/>
      <c r="V161" s="854"/>
      <c r="W161" s="854"/>
      <c r="X161" s="945"/>
      <c r="Y161" s="878"/>
      <c r="Z161" s="870"/>
      <c r="AA161" s="758" t="s">
        <v>194</v>
      </c>
      <c r="AB161" s="775"/>
      <c r="AC161" s="775"/>
      <c r="AD161" s="775"/>
      <c r="AE161" s="775"/>
      <c r="AF161" s="775"/>
      <c r="AG161" s="775"/>
      <c r="AH161" s="775"/>
      <c r="AI161" s="775"/>
      <c r="AJ161" s="775"/>
      <c r="AK161" s="775"/>
      <c r="AL161" s="775"/>
      <c r="AM161" s="775"/>
      <c r="AN161" s="775"/>
      <c r="AO161" s="775"/>
      <c r="AP161" s="775"/>
    </row>
    <row r="162" spans="1:42" ht="139.5" customHeight="1">
      <c r="A162" s="767" t="s">
        <v>661</v>
      </c>
      <c r="B162" s="767" t="s">
        <v>618</v>
      </c>
      <c r="C162" s="768">
        <v>44627</v>
      </c>
      <c r="D162" s="767" t="s">
        <v>292</v>
      </c>
      <c r="E162" s="767" t="s">
        <v>276</v>
      </c>
      <c r="F162" s="787" t="s">
        <v>662</v>
      </c>
      <c r="G162" s="770">
        <v>20000000</v>
      </c>
      <c r="H162" s="761" t="s">
        <v>278</v>
      </c>
      <c r="I162" s="767" t="s">
        <v>194</v>
      </c>
      <c r="J162" s="658" t="str">
        <f>VLOOKUP($I162,Prices!A:B,2,0)</f>
        <v>.</v>
      </c>
      <c r="K162" s="790" t="s">
        <v>194</v>
      </c>
      <c r="L162" s="651" t="s">
        <v>194</v>
      </c>
      <c r="M162" s="651" t="s">
        <v>194</v>
      </c>
      <c r="N162" s="708" t="str">
        <f>VLOOKUP($I162,Prices!A:D,4,0)</f>
        <v>.</v>
      </c>
      <c r="O162" s="772" t="s">
        <v>194</v>
      </c>
      <c r="P162" s="793" t="s">
        <v>194</v>
      </c>
      <c r="Q162" s="769">
        <f>G162</f>
        <v>20000000</v>
      </c>
      <c r="R162" s="769">
        <f>Q162/VLOOKUP(H162,'Currency Conversion'!B:C,2,0)</f>
        <v>20000000</v>
      </c>
      <c r="S162" s="763" t="s">
        <v>194</v>
      </c>
      <c r="T162" s="761" t="s">
        <v>240</v>
      </c>
      <c r="U162" s="756" t="s">
        <v>663</v>
      </c>
      <c r="V162" s="756" t="s">
        <v>664</v>
      </c>
      <c r="W162" s="765" t="s">
        <v>194</v>
      </c>
      <c r="X162" s="811" t="s">
        <v>194</v>
      </c>
      <c r="Y162" s="759">
        <v>1</v>
      </c>
      <c r="Z162" s="761">
        <v>0</v>
      </c>
      <c r="AA162" s="802" t="s">
        <v>194</v>
      </c>
      <c r="AB162" s="767"/>
      <c r="AC162" s="767"/>
      <c r="AD162" s="767"/>
      <c r="AE162" s="767"/>
      <c r="AF162" s="767"/>
      <c r="AG162" s="767"/>
      <c r="AH162" s="767"/>
      <c r="AI162" s="767"/>
      <c r="AJ162" s="767"/>
      <c r="AK162" s="767"/>
      <c r="AL162" s="767"/>
      <c r="AM162" s="767"/>
      <c r="AN162" s="767"/>
      <c r="AO162" s="767"/>
      <c r="AP162" s="767"/>
    </row>
    <row r="163" spans="1:42" s="141" customFormat="1" ht="14.25" customHeight="1">
      <c r="A163" s="868" t="s">
        <v>665</v>
      </c>
      <c r="B163" s="868" t="s">
        <v>666</v>
      </c>
      <c r="C163" s="867" t="s">
        <v>667</v>
      </c>
      <c r="D163" s="868" t="s">
        <v>212</v>
      </c>
      <c r="E163" s="868" t="s">
        <v>213</v>
      </c>
      <c r="F163" s="882" t="s">
        <v>668</v>
      </c>
      <c r="G163" s="875">
        <v>240000000</v>
      </c>
      <c r="H163" s="870" t="s">
        <v>278</v>
      </c>
      <c r="I163" s="766" t="s">
        <v>669</v>
      </c>
      <c r="J163" s="658">
        <f>VLOOKUP($I163,Prices!A:B,2,0)</f>
        <v>1</v>
      </c>
      <c r="K163" s="790">
        <f>VLOOKUP(I163,Prices!A:C,3,0)</f>
        <v>0</v>
      </c>
      <c r="L163" s="665">
        <v>25000</v>
      </c>
      <c r="M163" s="788">
        <f>L163</f>
        <v>25000</v>
      </c>
      <c r="N163" s="647">
        <f>VLOOKUP($I163,Prices!A:D,4,0)</f>
        <v>22</v>
      </c>
      <c r="O163" s="772">
        <f t="shared" si="13"/>
        <v>550000</v>
      </c>
      <c r="P163" s="793">
        <f t="shared" si="14"/>
        <v>550000</v>
      </c>
      <c r="Q163" s="869">
        <f>G163</f>
        <v>240000000</v>
      </c>
      <c r="R163" s="869">
        <f>Q163/VLOOKUP(H163, 'Currency Conversion'!B:C, 2, 0)</f>
        <v>240000000</v>
      </c>
      <c r="S163" s="886">
        <f>R163</f>
        <v>240000000</v>
      </c>
      <c r="T163" s="871" t="s">
        <v>195</v>
      </c>
      <c r="U163" s="854" t="s">
        <v>670</v>
      </c>
      <c r="V163" s="854" t="s">
        <v>671</v>
      </c>
      <c r="W163" s="854" t="s">
        <v>672</v>
      </c>
      <c r="X163" s="883" t="s">
        <v>673</v>
      </c>
      <c r="Y163" s="878">
        <v>0</v>
      </c>
      <c r="Z163" s="870">
        <v>0</v>
      </c>
      <c r="AA163" s="897" t="s">
        <v>674</v>
      </c>
      <c r="AB163" s="775"/>
      <c r="AC163" s="775"/>
      <c r="AD163" s="775"/>
      <c r="AE163" s="775"/>
      <c r="AF163" s="775"/>
      <c r="AG163" s="775"/>
      <c r="AH163" s="775"/>
      <c r="AI163" s="775"/>
      <c r="AJ163" s="775"/>
      <c r="AK163" s="775"/>
      <c r="AL163" s="775"/>
      <c r="AM163" s="775"/>
      <c r="AN163" s="775"/>
      <c r="AO163" s="775"/>
      <c r="AP163" s="775"/>
    </row>
    <row r="164" spans="1:42" s="141" customFormat="1" ht="12.75" customHeight="1">
      <c r="A164" s="868"/>
      <c r="B164" s="868"/>
      <c r="C164" s="867"/>
      <c r="D164" s="868"/>
      <c r="E164" s="868"/>
      <c r="F164" s="882"/>
      <c r="G164" s="875"/>
      <c r="H164" s="870"/>
      <c r="I164" s="766" t="s">
        <v>675</v>
      </c>
      <c r="J164" s="658">
        <f>VLOOKUP($I164,Prices!A:B,2,0)</f>
        <v>3</v>
      </c>
      <c r="K164" s="790">
        <f>VLOOKUP(I164,Prices!A:C,3,0)</f>
        <v>0</v>
      </c>
      <c r="L164" s="788" t="s">
        <v>224</v>
      </c>
      <c r="M164" s="788" t="str">
        <f t="shared" ref="M164:M183" si="17">L164</f>
        <v>undisclosed</v>
      </c>
      <c r="N164" s="708">
        <f>VLOOKUP($I164,Prices!A:D,4,0)</f>
        <v>80000</v>
      </c>
      <c r="O164" s="772" t="s">
        <v>194</v>
      </c>
      <c r="P164" s="793" t="s">
        <v>194</v>
      </c>
      <c r="Q164" s="869"/>
      <c r="R164" s="869"/>
      <c r="S164" s="886"/>
      <c r="T164" s="871"/>
      <c r="U164" s="854"/>
      <c r="V164" s="854"/>
      <c r="W164" s="854"/>
      <c r="X164" s="883"/>
      <c r="Y164" s="878"/>
      <c r="Z164" s="870"/>
      <c r="AA164" s="897"/>
      <c r="AB164" s="775"/>
      <c r="AC164" s="775"/>
      <c r="AD164" s="775"/>
      <c r="AE164" s="775"/>
      <c r="AF164" s="775"/>
      <c r="AG164" s="775"/>
      <c r="AH164" s="775"/>
      <c r="AI164" s="775"/>
      <c r="AJ164" s="775"/>
      <c r="AK164" s="775"/>
      <c r="AL164" s="775"/>
      <c r="AM164" s="775"/>
      <c r="AN164" s="775"/>
      <c r="AO164" s="775"/>
      <c r="AP164" s="775"/>
    </row>
    <row r="165" spans="1:42" s="141" customFormat="1" ht="13.5" customHeight="1">
      <c r="A165" s="868"/>
      <c r="B165" s="868"/>
      <c r="C165" s="867"/>
      <c r="D165" s="868"/>
      <c r="E165" s="868"/>
      <c r="F165" s="882"/>
      <c r="G165" s="875"/>
      <c r="H165" s="870"/>
      <c r="I165" s="766" t="s">
        <v>676</v>
      </c>
      <c r="J165" s="658">
        <f>VLOOKUP($I165,Prices!A:B,2,0)</f>
        <v>4</v>
      </c>
      <c r="K165" s="790">
        <f>VLOOKUP(I165,Prices!A:C,3,0)</f>
        <v>1</v>
      </c>
      <c r="L165" s="788" t="s">
        <v>224</v>
      </c>
      <c r="M165" s="788" t="str">
        <f t="shared" si="17"/>
        <v>undisclosed</v>
      </c>
      <c r="N165" s="647">
        <f>VLOOKUP($I165,Prices!A:D,4,0)</f>
        <v>527337</v>
      </c>
      <c r="O165" s="772" t="s">
        <v>194</v>
      </c>
      <c r="P165" s="793" t="s">
        <v>194</v>
      </c>
      <c r="Q165" s="869"/>
      <c r="R165" s="869"/>
      <c r="S165" s="886"/>
      <c r="T165" s="871"/>
      <c r="U165" s="854"/>
      <c r="V165" s="854"/>
      <c r="W165" s="854"/>
      <c r="X165" s="883"/>
      <c r="Y165" s="878"/>
      <c r="Z165" s="870"/>
      <c r="AA165" s="897"/>
      <c r="AB165" s="775"/>
      <c r="AC165" s="775"/>
      <c r="AD165" s="775"/>
      <c r="AE165" s="775"/>
      <c r="AF165" s="775"/>
      <c r="AG165" s="775"/>
      <c r="AH165" s="775"/>
      <c r="AI165" s="775"/>
      <c r="AJ165" s="775"/>
      <c r="AK165" s="775"/>
      <c r="AL165" s="775"/>
      <c r="AM165" s="775"/>
      <c r="AN165" s="775"/>
      <c r="AO165" s="775"/>
      <c r="AP165" s="775"/>
    </row>
    <row r="166" spans="1:42" s="141" customFormat="1" ht="12.75" customHeight="1">
      <c r="A166" s="868"/>
      <c r="B166" s="868"/>
      <c r="C166" s="867"/>
      <c r="D166" s="868"/>
      <c r="E166" s="868"/>
      <c r="F166" s="882"/>
      <c r="G166" s="875"/>
      <c r="H166" s="870"/>
      <c r="I166" s="766" t="s">
        <v>677</v>
      </c>
      <c r="J166" s="658">
        <f>VLOOKUP($I166,Prices!A:B,2,0)</f>
        <v>1</v>
      </c>
      <c r="K166" s="790">
        <f>VLOOKUP(I166,Prices!A:C,3,0)</f>
        <v>0</v>
      </c>
      <c r="L166" s="788" t="s">
        <v>224</v>
      </c>
      <c r="M166" s="788" t="str">
        <f t="shared" si="17"/>
        <v>undisclosed</v>
      </c>
      <c r="N166" s="708">
        <f>VLOOKUP($I166,Prices!A:D,4,0)</f>
        <v>86940000</v>
      </c>
      <c r="O166" s="772" t="s">
        <v>194</v>
      </c>
      <c r="P166" s="793" t="s">
        <v>194</v>
      </c>
      <c r="Q166" s="869"/>
      <c r="R166" s="869"/>
      <c r="S166" s="886"/>
      <c r="T166" s="871"/>
      <c r="U166" s="854"/>
      <c r="V166" s="854"/>
      <c r="W166" s="854"/>
      <c r="X166" s="883"/>
      <c r="Y166" s="878"/>
      <c r="Z166" s="870"/>
      <c r="AA166" s="897"/>
      <c r="AB166" s="775"/>
      <c r="AC166" s="775"/>
      <c r="AD166" s="775"/>
      <c r="AE166" s="775"/>
      <c r="AF166" s="775"/>
      <c r="AG166" s="775"/>
      <c r="AH166" s="775"/>
      <c r="AI166" s="775"/>
      <c r="AJ166" s="775"/>
      <c r="AK166" s="775"/>
      <c r="AL166" s="775"/>
      <c r="AM166" s="775"/>
      <c r="AN166" s="775"/>
      <c r="AO166" s="775"/>
      <c r="AP166" s="775"/>
    </row>
    <row r="167" spans="1:42" s="141" customFormat="1" ht="15" customHeight="1">
      <c r="A167" s="868"/>
      <c r="B167" s="868"/>
      <c r="C167" s="867"/>
      <c r="D167" s="868"/>
      <c r="E167" s="868"/>
      <c r="F167" s="882"/>
      <c r="G167" s="875"/>
      <c r="H167" s="870"/>
      <c r="I167" s="766" t="s">
        <v>416</v>
      </c>
      <c r="J167" s="658">
        <f>VLOOKUP($I167,Prices!A:B,2,0)</f>
        <v>2</v>
      </c>
      <c r="K167" s="790">
        <f>VLOOKUP(I167,Prices!A:C,3,0)</f>
        <v>0</v>
      </c>
      <c r="L167" s="788" t="s">
        <v>224</v>
      </c>
      <c r="M167" s="788" t="str">
        <f t="shared" si="17"/>
        <v>undisclosed</v>
      </c>
      <c r="N167" s="647">
        <f>VLOOKUP($I167,Prices!A:D,4,0)</f>
        <v>49</v>
      </c>
      <c r="O167" s="772" t="s">
        <v>194</v>
      </c>
      <c r="P167" s="793" t="s">
        <v>194</v>
      </c>
      <c r="Q167" s="869"/>
      <c r="R167" s="869"/>
      <c r="S167" s="886"/>
      <c r="T167" s="871"/>
      <c r="U167" s="854"/>
      <c r="V167" s="854"/>
      <c r="W167" s="854"/>
      <c r="X167" s="883"/>
      <c r="Y167" s="878"/>
      <c r="Z167" s="870"/>
      <c r="AA167" s="897"/>
      <c r="AB167" s="775"/>
      <c r="AC167" s="775"/>
      <c r="AD167" s="775"/>
      <c r="AE167" s="775"/>
      <c r="AF167" s="775"/>
      <c r="AG167" s="775"/>
      <c r="AH167" s="775"/>
      <c r="AI167" s="775"/>
      <c r="AJ167" s="775"/>
      <c r="AK167" s="775"/>
      <c r="AL167" s="775"/>
      <c r="AM167" s="775"/>
      <c r="AN167" s="775"/>
      <c r="AO167" s="775"/>
      <c r="AP167" s="775"/>
    </row>
    <row r="168" spans="1:42" s="141" customFormat="1" ht="13.5" customHeight="1">
      <c r="A168" s="868"/>
      <c r="B168" s="868"/>
      <c r="C168" s="867"/>
      <c r="D168" s="868"/>
      <c r="E168" s="868"/>
      <c r="F168" s="882"/>
      <c r="G168" s="875"/>
      <c r="H168" s="870"/>
      <c r="I168" s="766" t="s">
        <v>678</v>
      </c>
      <c r="J168" s="658">
        <f>VLOOKUP($I168,Prices!A:B,2,0)</f>
        <v>2</v>
      </c>
      <c r="K168" s="790">
        <f>VLOOKUP(I168,Prices!A:C,3,0)</f>
        <v>0</v>
      </c>
      <c r="L168" s="788" t="s">
        <v>224</v>
      </c>
      <c r="M168" s="788" t="str">
        <f t="shared" si="17"/>
        <v>undisclosed</v>
      </c>
      <c r="N168" s="708">
        <f>VLOOKUP($I168,Prices!A:D,4,0)</f>
        <v>2000</v>
      </c>
      <c r="O168" s="772" t="s">
        <v>194</v>
      </c>
      <c r="P168" s="793" t="s">
        <v>194</v>
      </c>
      <c r="Q168" s="869"/>
      <c r="R168" s="869"/>
      <c r="S168" s="886"/>
      <c r="T168" s="871"/>
      <c r="U168" s="854"/>
      <c r="V168" s="854"/>
      <c r="W168" s="854"/>
      <c r="X168" s="883"/>
      <c r="Y168" s="878"/>
      <c r="Z168" s="870"/>
      <c r="AA168" s="897"/>
      <c r="AB168" s="775"/>
      <c r="AC168" s="775"/>
      <c r="AD168" s="775"/>
      <c r="AE168" s="775"/>
      <c r="AF168" s="775"/>
      <c r="AG168" s="775"/>
      <c r="AH168" s="775"/>
      <c r="AI168" s="775"/>
      <c r="AJ168" s="775"/>
      <c r="AK168" s="775"/>
      <c r="AL168" s="775"/>
      <c r="AM168" s="775"/>
      <c r="AN168" s="775"/>
      <c r="AO168" s="775"/>
      <c r="AP168" s="775"/>
    </row>
    <row r="169" spans="1:42" s="141" customFormat="1" ht="15" customHeight="1">
      <c r="A169" s="868"/>
      <c r="B169" s="868"/>
      <c r="C169" s="867"/>
      <c r="D169" s="868"/>
      <c r="E169" s="868"/>
      <c r="F169" s="882"/>
      <c r="G169" s="875"/>
      <c r="H169" s="870"/>
      <c r="I169" s="766" t="s">
        <v>648</v>
      </c>
      <c r="J169" s="658">
        <f>VLOOKUP($I169,Prices!A:B,2,0)</f>
        <v>2.5</v>
      </c>
      <c r="K169" s="790">
        <f>VLOOKUP(I169,Prices!A:C,3,0)</f>
        <v>0</v>
      </c>
      <c r="L169" s="788" t="s">
        <v>224</v>
      </c>
      <c r="M169" s="788" t="str">
        <f t="shared" si="17"/>
        <v>undisclosed</v>
      </c>
      <c r="N169" s="647">
        <f>VLOOKUP($I169,Prices!A:D,4,0)</f>
        <v>16.5</v>
      </c>
      <c r="O169" s="772" t="s">
        <v>194</v>
      </c>
      <c r="P169" s="793" t="s">
        <v>194</v>
      </c>
      <c r="Q169" s="869"/>
      <c r="R169" s="869"/>
      <c r="S169" s="886"/>
      <c r="T169" s="871"/>
      <c r="U169" s="854"/>
      <c r="V169" s="854"/>
      <c r="W169" s="854"/>
      <c r="X169" s="883"/>
      <c r="Y169" s="878"/>
      <c r="Z169" s="870"/>
      <c r="AA169" s="897"/>
      <c r="AB169" s="775"/>
      <c r="AC169" s="775"/>
      <c r="AD169" s="775"/>
      <c r="AE169" s="775"/>
      <c r="AF169" s="775"/>
      <c r="AG169" s="775"/>
      <c r="AH169" s="775"/>
      <c r="AI169" s="775"/>
      <c r="AJ169" s="775"/>
      <c r="AK169" s="775"/>
      <c r="AL169" s="775"/>
      <c r="AM169" s="775"/>
      <c r="AN169" s="775"/>
      <c r="AO169" s="775"/>
      <c r="AP169" s="775"/>
    </row>
    <row r="170" spans="1:42" s="141" customFormat="1" ht="13.5" customHeight="1">
      <c r="A170" s="868"/>
      <c r="B170" s="868"/>
      <c r="C170" s="867"/>
      <c r="D170" s="868"/>
      <c r="E170" s="868"/>
      <c r="F170" s="882"/>
      <c r="G170" s="875"/>
      <c r="H170" s="870"/>
      <c r="I170" s="766" t="s">
        <v>679</v>
      </c>
      <c r="J170" s="658">
        <f>VLOOKUP($I170,Prices!A:B,2,0)</f>
        <v>2</v>
      </c>
      <c r="K170" s="790">
        <f>VLOOKUP(I170,Prices!A:C,3,0)</f>
        <v>0</v>
      </c>
      <c r="L170" s="788" t="s">
        <v>224</v>
      </c>
      <c r="M170" s="788" t="str">
        <f t="shared" si="17"/>
        <v>undisclosed</v>
      </c>
      <c r="N170" s="708">
        <f>VLOOKUP($I170,Prices!A:D,4,0)</f>
        <v>20000</v>
      </c>
      <c r="O170" s="772" t="s">
        <v>194</v>
      </c>
      <c r="P170" s="793" t="s">
        <v>194</v>
      </c>
      <c r="Q170" s="869"/>
      <c r="R170" s="869"/>
      <c r="S170" s="886"/>
      <c r="T170" s="871"/>
      <c r="U170" s="854"/>
      <c r="V170" s="854"/>
      <c r="W170" s="854"/>
      <c r="X170" s="883"/>
      <c r="Y170" s="878"/>
      <c r="Z170" s="870"/>
      <c r="AA170" s="897"/>
      <c r="AB170" s="775"/>
      <c r="AC170" s="775"/>
      <c r="AD170" s="775"/>
      <c r="AE170" s="775"/>
      <c r="AF170" s="775"/>
      <c r="AG170" s="775"/>
      <c r="AH170" s="775"/>
      <c r="AI170" s="775"/>
      <c r="AJ170" s="775"/>
      <c r="AK170" s="775"/>
      <c r="AL170" s="775"/>
      <c r="AM170" s="775"/>
      <c r="AN170" s="775"/>
      <c r="AO170" s="775"/>
      <c r="AP170" s="775"/>
    </row>
    <row r="171" spans="1:42" s="141" customFormat="1" ht="15" customHeight="1">
      <c r="A171" s="868"/>
      <c r="B171" s="868"/>
      <c r="C171" s="867"/>
      <c r="D171" s="868"/>
      <c r="E171" s="868"/>
      <c r="F171" s="882"/>
      <c r="G171" s="875"/>
      <c r="H171" s="870"/>
      <c r="I171" s="766" t="s">
        <v>680</v>
      </c>
      <c r="J171" s="658">
        <f>VLOOKUP($I171,Prices!A:B,2,0)</f>
        <v>2</v>
      </c>
      <c r="K171" s="790">
        <f>VLOOKUP(I171,Prices!A:C,3,0)</f>
        <v>0</v>
      </c>
      <c r="L171" s="788" t="s">
        <v>224</v>
      </c>
      <c r="M171" s="788" t="str">
        <f t="shared" si="17"/>
        <v>undisclosed</v>
      </c>
      <c r="N171" s="647">
        <f>VLOOKUP($I171,Prices!A:D,4,0)</f>
        <v>23000</v>
      </c>
      <c r="O171" s="772" t="s">
        <v>194</v>
      </c>
      <c r="P171" s="793" t="s">
        <v>194</v>
      </c>
      <c r="Q171" s="869"/>
      <c r="R171" s="869"/>
      <c r="S171" s="886"/>
      <c r="T171" s="871"/>
      <c r="U171" s="854"/>
      <c r="V171" s="854"/>
      <c r="W171" s="854"/>
      <c r="X171" s="883"/>
      <c r="Y171" s="878"/>
      <c r="Z171" s="870"/>
      <c r="AA171" s="897"/>
      <c r="AB171" s="775"/>
      <c r="AC171" s="775"/>
      <c r="AD171" s="775"/>
      <c r="AE171" s="775"/>
      <c r="AF171" s="775"/>
      <c r="AG171" s="775"/>
      <c r="AH171" s="775"/>
      <c r="AI171" s="775"/>
      <c r="AJ171" s="775"/>
      <c r="AK171" s="775"/>
      <c r="AL171" s="775"/>
      <c r="AM171" s="775"/>
      <c r="AN171" s="775"/>
      <c r="AO171" s="775"/>
      <c r="AP171" s="775"/>
    </row>
    <row r="172" spans="1:42" s="141" customFormat="1" ht="15.75" customHeight="1">
      <c r="A172" s="868"/>
      <c r="B172" s="868"/>
      <c r="C172" s="867"/>
      <c r="D172" s="868"/>
      <c r="E172" s="868"/>
      <c r="F172" s="882"/>
      <c r="G172" s="875"/>
      <c r="H172" s="870"/>
      <c r="I172" s="766" t="s">
        <v>681</v>
      </c>
      <c r="J172" s="658">
        <f>VLOOKUP($I172,Prices!A:B,2,0)</f>
        <v>2.5</v>
      </c>
      <c r="K172" s="790">
        <f>VLOOKUP(I172,Prices!A:C,3,0)</f>
        <v>0</v>
      </c>
      <c r="L172" s="788" t="s">
        <v>224</v>
      </c>
      <c r="M172" s="788" t="str">
        <f t="shared" si="17"/>
        <v>undisclosed</v>
      </c>
      <c r="N172" s="708">
        <f>VLOOKUP($I172,Prices!A:D,4,0)</f>
        <v>0.44408320000000001</v>
      </c>
      <c r="O172" s="772" t="s">
        <v>194</v>
      </c>
      <c r="P172" s="793" t="s">
        <v>194</v>
      </c>
      <c r="Q172" s="869"/>
      <c r="R172" s="869"/>
      <c r="S172" s="886"/>
      <c r="T172" s="871"/>
      <c r="U172" s="854"/>
      <c r="V172" s="854"/>
      <c r="W172" s="854"/>
      <c r="X172" s="883"/>
      <c r="Y172" s="878"/>
      <c r="Z172" s="870"/>
      <c r="AA172" s="897"/>
      <c r="AB172" s="775"/>
      <c r="AC172" s="775"/>
      <c r="AD172" s="775"/>
      <c r="AE172" s="775"/>
      <c r="AF172" s="775"/>
      <c r="AG172" s="775"/>
      <c r="AH172" s="775"/>
      <c r="AI172" s="775"/>
      <c r="AJ172" s="775"/>
      <c r="AK172" s="775"/>
      <c r="AL172" s="775"/>
      <c r="AM172" s="775"/>
      <c r="AN172" s="775"/>
      <c r="AO172" s="775"/>
      <c r="AP172" s="775"/>
    </row>
    <row r="173" spans="1:42" s="141" customFormat="1" ht="12.75" customHeight="1">
      <c r="A173" s="868"/>
      <c r="B173" s="868"/>
      <c r="C173" s="867"/>
      <c r="D173" s="868"/>
      <c r="E173" s="868"/>
      <c r="F173" s="882"/>
      <c r="G173" s="875"/>
      <c r="H173" s="870"/>
      <c r="I173" s="766" t="s">
        <v>682</v>
      </c>
      <c r="J173" s="658">
        <f>VLOOKUP($I173,Prices!A:B,2,0)</f>
        <v>4.5</v>
      </c>
      <c r="K173" s="790">
        <f>VLOOKUP(I173,Prices!A:C,3,0)</f>
        <v>0</v>
      </c>
      <c r="L173" s="788" t="s">
        <v>224</v>
      </c>
      <c r="M173" s="788" t="str">
        <f t="shared" si="17"/>
        <v>undisclosed</v>
      </c>
      <c r="N173" s="647" t="str">
        <f>VLOOKUP($I173,Prices!A:D,4,0)</f>
        <v>.</v>
      </c>
      <c r="O173" s="772" t="s">
        <v>194</v>
      </c>
      <c r="P173" s="793" t="s">
        <v>194</v>
      </c>
      <c r="Q173" s="869"/>
      <c r="R173" s="869"/>
      <c r="S173" s="886"/>
      <c r="T173" s="871"/>
      <c r="U173" s="854"/>
      <c r="V173" s="854"/>
      <c r="W173" s="854"/>
      <c r="X173" s="883"/>
      <c r="Y173" s="878"/>
      <c r="Z173" s="870"/>
      <c r="AA173" s="897"/>
      <c r="AB173" s="775"/>
      <c r="AC173" s="775"/>
      <c r="AD173" s="775"/>
      <c r="AE173" s="775"/>
      <c r="AF173" s="775"/>
      <c r="AG173" s="775"/>
      <c r="AH173" s="775"/>
      <c r="AI173" s="775"/>
      <c r="AJ173" s="775"/>
      <c r="AK173" s="775"/>
      <c r="AL173" s="775"/>
      <c r="AM173" s="775"/>
      <c r="AN173" s="775"/>
      <c r="AO173" s="775"/>
      <c r="AP173" s="775"/>
    </row>
    <row r="174" spans="1:42" s="141" customFormat="1" ht="15" customHeight="1">
      <c r="A174" s="868"/>
      <c r="B174" s="868"/>
      <c r="C174" s="867"/>
      <c r="D174" s="868"/>
      <c r="E174" s="868"/>
      <c r="F174" s="882"/>
      <c r="G174" s="875"/>
      <c r="H174" s="870"/>
      <c r="I174" s="766" t="s">
        <v>344</v>
      </c>
      <c r="J174" s="658">
        <f>VLOOKUP($I174,Prices!A:B,2,0)</f>
        <v>1</v>
      </c>
      <c r="K174" s="790">
        <f>VLOOKUP(I174,Prices!A:C,3,0)</f>
        <v>0</v>
      </c>
      <c r="L174" s="788" t="s">
        <v>224</v>
      </c>
      <c r="M174" s="788" t="str">
        <f t="shared" si="17"/>
        <v>undisclosed</v>
      </c>
      <c r="N174" s="708">
        <f>VLOOKUP($I174,Prices!A:D,4,0)</f>
        <v>1400</v>
      </c>
      <c r="O174" s="772" t="s">
        <v>194</v>
      </c>
      <c r="P174" s="793" t="s">
        <v>194</v>
      </c>
      <c r="Q174" s="869"/>
      <c r="R174" s="869"/>
      <c r="S174" s="886"/>
      <c r="T174" s="871"/>
      <c r="U174" s="854"/>
      <c r="V174" s="854"/>
      <c r="W174" s="854"/>
      <c r="X174" s="883"/>
      <c r="Y174" s="878"/>
      <c r="Z174" s="870"/>
      <c r="AA174" s="897"/>
      <c r="AB174" s="775"/>
      <c r="AC174" s="775"/>
      <c r="AD174" s="775"/>
      <c r="AE174" s="775"/>
      <c r="AF174" s="775"/>
      <c r="AG174" s="775"/>
      <c r="AH174" s="775"/>
      <c r="AI174" s="775"/>
      <c r="AJ174" s="775"/>
      <c r="AK174" s="775"/>
      <c r="AL174" s="775"/>
      <c r="AM174" s="775"/>
      <c r="AN174" s="775"/>
      <c r="AO174" s="775"/>
      <c r="AP174" s="775"/>
    </row>
    <row r="175" spans="1:42" s="141" customFormat="1" ht="12" customHeight="1">
      <c r="A175" s="868"/>
      <c r="B175" s="868"/>
      <c r="C175" s="867"/>
      <c r="D175" s="868"/>
      <c r="E175" s="868"/>
      <c r="F175" s="882"/>
      <c r="G175" s="875"/>
      <c r="H175" s="870"/>
      <c r="I175" s="766" t="s">
        <v>683</v>
      </c>
      <c r="J175" s="658">
        <f>VLOOKUP($I175,Prices!A:B,2,0)</f>
        <v>1</v>
      </c>
      <c r="K175" s="790">
        <f>VLOOKUP(I175,Prices!A:C,3,0)</f>
        <v>0</v>
      </c>
      <c r="L175" s="788" t="s">
        <v>224</v>
      </c>
      <c r="M175" s="788" t="str">
        <f t="shared" si="17"/>
        <v>undisclosed</v>
      </c>
      <c r="N175" s="647" t="str">
        <f>VLOOKUP($I175,Prices!A:D,4,0)</f>
        <v>.</v>
      </c>
      <c r="O175" s="772" t="s">
        <v>194</v>
      </c>
      <c r="P175" s="793" t="s">
        <v>194</v>
      </c>
      <c r="Q175" s="869"/>
      <c r="R175" s="869"/>
      <c r="S175" s="886"/>
      <c r="T175" s="871"/>
      <c r="U175" s="854"/>
      <c r="V175" s="854"/>
      <c r="W175" s="854"/>
      <c r="X175" s="883"/>
      <c r="Y175" s="878"/>
      <c r="Z175" s="870"/>
      <c r="AA175" s="897"/>
      <c r="AB175" s="775"/>
      <c r="AC175" s="775"/>
      <c r="AD175" s="775"/>
      <c r="AE175" s="775"/>
      <c r="AF175" s="775"/>
      <c r="AG175" s="775"/>
      <c r="AH175" s="775"/>
      <c r="AI175" s="775"/>
      <c r="AJ175" s="775"/>
      <c r="AK175" s="775"/>
      <c r="AL175" s="775"/>
      <c r="AM175" s="775"/>
      <c r="AN175" s="775"/>
      <c r="AO175" s="775"/>
      <c r="AP175" s="775"/>
    </row>
    <row r="176" spans="1:42" s="141" customFormat="1" ht="15" customHeight="1">
      <c r="A176" s="868"/>
      <c r="B176" s="868"/>
      <c r="C176" s="867"/>
      <c r="D176" s="868"/>
      <c r="E176" s="868"/>
      <c r="F176" s="882"/>
      <c r="G176" s="875"/>
      <c r="H176" s="870"/>
      <c r="I176" s="766" t="s">
        <v>348</v>
      </c>
      <c r="J176" s="658">
        <f>VLOOKUP($I176,Prices!A:B,2,0)</f>
        <v>1</v>
      </c>
      <c r="K176" s="790">
        <f>VLOOKUP(I176,Prices!A:C,3,0)</f>
        <v>0</v>
      </c>
      <c r="L176" s="788" t="s">
        <v>224</v>
      </c>
      <c r="M176" s="788" t="str">
        <f t="shared" si="17"/>
        <v>undisclosed</v>
      </c>
      <c r="N176" s="708">
        <f>VLOOKUP($I176,Prices!A:D,4,0)</f>
        <v>500</v>
      </c>
      <c r="O176" s="772" t="s">
        <v>194</v>
      </c>
      <c r="P176" s="793" t="s">
        <v>194</v>
      </c>
      <c r="Q176" s="869"/>
      <c r="R176" s="869"/>
      <c r="S176" s="886"/>
      <c r="T176" s="871"/>
      <c r="U176" s="854"/>
      <c r="V176" s="854"/>
      <c r="W176" s="854"/>
      <c r="X176" s="883"/>
      <c r="Y176" s="878"/>
      <c r="Z176" s="870"/>
      <c r="AA176" s="897"/>
      <c r="AB176" s="775"/>
      <c r="AC176" s="775"/>
      <c r="AD176" s="775"/>
      <c r="AE176" s="775"/>
      <c r="AF176" s="775"/>
      <c r="AG176" s="775"/>
      <c r="AH176" s="775"/>
      <c r="AI176" s="775"/>
      <c r="AJ176" s="775"/>
      <c r="AK176" s="775"/>
      <c r="AL176" s="775"/>
      <c r="AM176" s="775"/>
      <c r="AN176" s="775"/>
      <c r="AO176" s="775"/>
      <c r="AP176" s="775"/>
    </row>
    <row r="177" spans="1:42" s="141" customFormat="1" ht="16.5" customHeight="1">
      <c r="A177" s="868"/>
      <c r="B177" s="868"/>
      <c r="C177" s="867"/>
      <c r="D177" s="868"/>
      <c r="E177" s="868"/>
      <c r="F177" s="882"/>
      <c r="G177" s="875"/>
      <c r="H177" s="870"/>
      <c r="I177" s="766" t="s">
        <v>684</v>
      </c>
      <c r="J177" s="658">
        <f>VLOOKUP($I177,Prices!A:B,2,0)</f>
        <v>1</v>
      </c>
      <c r="K177" s="790">
        <f>VLOOKUP(I177,Prices!A:C,3,0)</f>
        <v>0</v>
      </c>
      <c r="L177" s="788" t="s">
        <v>224</v>
      </c>
      <c r="M177" s="788" t="str">
        <f t="shared" si="17"/>
        <v>undisclosed</v>
      </c>
      <c r="N177" s="647" t="str">
        <f>VLOOKUP($I177,Prices!A:D,4,0)</f>
        <v>.</v>
      </c>
      <c r="O177" s="772" t="s">
        <v>194</v>
      </c>
      <c r="P177" s="793" t="s">
        <v>194</v>
      </c>
      <c r="Q177" s="869"/>
      <c r="R177" s="869"/>
      <c r="S177" s="886"/>
      <c r="T177" s="871"/>
      <c r="U177" s="854"/>
      <c r="V177" s="854"/>
      <c r="W177" s="854"/>
      <c r="X177" s="883"/>
      <c r="Y177" s="878"/>
      <c r="Z177" s="870"/>
      <c r="AA177" s="897"/>
      <c r="AB177" s="775"/>
      <c r="AC177" s="775"/>
      <c r="AD177" s="775"/>
      <c r="AE177" s="775"/>
      <c r="AF177" s="775"/>
      <c r="AG177" s="775"/>
      <c r="AH177" s="775"/>
      <c r="AI177" s="775"/>
      <c r="AJ177" s="775"/>
      <c r="AK177" s="775"/>
      <c r="AL177" s="775"/>
      <c r="AM177" s="775"/>
      <c r="AN177" s="775"/>
      <c r="AO177" s="775"/>
      <c r="AP177" s="775"/>
    </row>
    <row r="178" spans="1:42" s="141" customFormat="1" ht="16.5" customHeight="1">
      <c r="A178" s="868"/>
      <c r="B178" s="868"/>
      <c r="C178" s="867"/>
      <c r="D178" s="868"/>
      <c r="E178" s="868"/>
      <c r="F178" s="882"/>
      <c r="G178" s="875"/>
      <c r="H178" s="870"/>
      <c r="I178" s="766" t="s">
        <v>685</v>
      </c>
      <c r="J178" s="658">
        <f>VLOOKUP($I178,Prices!A:B,2,0)</f>
        <v>5</v>
      </c>
      <c r="K178" s="790">
        <f>VLOOKUP(I178,Prices!A:C,3,0)</f>
        <v>0</v>
      </c>
      <c r="L178" s="788" t="s">
        <v>224</v>
      </c>
      <c r="M178" s="788" t="str">
        <f t="shared" si="17"/>
        <v>undisclosed</v>
      </c>
      <c r="N178" s="708" t="str">
        <f>VLOOKUP($I178,Prices!A:D,4,0)</f>
        <v>.</v>
      </c>
      <c r="O178" s="772" t="s">
        <v>194</v>
      </c>
      <c r="P178" s="793" t="s">
        <v>194</v>
      </c>
      <c r="Q178" s="869"/>
      <c r="R178" s="869"/>
      <c r="S178" s="886"/>
      <c r="T178" s="871"/>
      <c r="U178" s="854"/>
      <c r="V178" s="854"/>
      <c r="W178" s="854"/>
      <c r="X178" s="883"/>
      <c r="Y178" s="878"/>
      <c r="Z178" s="870"/>
      <c r="AA178" s="897"/>
      <c r="AB178" s="775"/>
      <c r="AC178" s="775"/>
      <c r="AD178" s="775"/>
      <c r="AE178" s="775"/>
      <c r="AF178" s="775"/>
      <c r="AG178" s="775"/>
      <c r="AH178" s="775"/>
      <c r="AI178" s="775"/>
      <c r="AJ178" s="775"/>
      <c r="AK178" s="775"/>
      <c r="AL178" s="775"/>
      <c r="AM178" s="775"/>
      <c r="AN178" s="775"/>
      <c r="AO178" s="775"/>
      <c r="AP178" s="775"/>
    </row>
    <row r="179" spans="1:42" s="141" customFormat="1" ht="14.25" customHeight="1">
      <c r="A179" s="868"/>
      <c r="B179" s="868"/>
      <c r="C179" s="867"/>
      <c r="D179" s="868"/>
      <c r="E179" s="868"/>
      <c r="F179" s="882"/>
      <c r="G179" s="875"/>
      <c r="H179" s="870"/>
      <c r="I179" s="766" t="s">
        <v>412</v>
      </c>
      <c r="J179" s="658">
        <f>VLOOKUP($I179,Prices!A:B,2,0)</f>
        <v>1</v>
      </c>
      <c r="K179" s="790">
        <f>VLOOKUP(I179,Prices!A:C,3,0)</f>
        <v>0</v>
      </c>
      <c r="L179" s="788" t="s">
        <v>224</v>
      </c>
      <c r="M179" s="788" t="str">
        <f t="shared" si="17"/>
        <v>undisclosed</v>
      </c>
      <c r="N179" s="647">
        <f>VLOOKUP($I179,Prices!A:D,4,0)</f>
        <v>7600</v>
      </c>
      <c r="O179" s="772" t="s">
        <v>194</v>
      </c>
      <c r="P179" s="793" t="s">
        <v>194</v>
      </c>
      <c r="Q179" s="869"/>
      <c r="R179" s="869"/>
      <c r="S179" s="886"/>
      <c r="T179" s="871"/>
      <c r="U179" s="854"/>
      <c r="V179" s="854"/>
      <c r="W179" s="854"/>
      <c r="X179" s="883"/>
      <c r="Y179" s="878"/>
      <c r="Z179" s="870"/>
      <c r="AA179" s="897"/>
      <c r="AB179" s="775"/>
      <c r="AC179" s="775"/>
      <c r="AD179" s="775"/>
      <c r="AE179" s="775"/>
      <c r="AF179" s="775"/>
      <c r="AG179" s="775"/>
      <c r="AH179" s="775"/>
      <c r="AI179" s="775"/>
      <c r="AJ179" s="775"/>
      <c r="AK179" s="775"/>
      <c r="AL179" s="775"/>
      <c r="AM179" s="775"/>
      <c r="AN179" s="775"/>
      <c r="AO179" s="775"/>
      <c r="AP179" s="775"/>
    </row>
    <row r="180" spans="1:42" s="141" customFormat="1" ht="15.75" customHeight="1">
      <c r="A180" s="868"/>
      <c r="B180" s="868"/>
      <c r="C180" s="867"/>
      <c r="D180" s="868"/>
      <c r="E180" s="868"/>
      <c r="F180" s="882"/>
      <c r="G180" s="875"/>
      <c r="H180" s="870"/>
      <c r="I180" s="766" t="s">
        <v>686</v>
      </c>
      <c r="J180" s="658">
        <f>VLOOKUP($I180,Prices!A:B,2,0)</f>
        <v>1</v>
      </c>
      <c r="K180" s="790">
        <f>VLOOKUP(I180,Prices!A:C,3,0)</f>
        <v>0</v>
      </c>
      <c r="L180" s="788" t="s">
        <v>224</v>
      </c>
      <c r="M180" s="788" t="str">
        <f t="shared" si="17"/>
        <v>undisclosed</v>
      </c>
      <c r="N180" s="708">
        <f>VLOOKUP($I180,Prices!A:D,4,0)</f>
        <v>5000</v>
      </c>
      <c r="O180" s="772" t="s">
        <v>194</v>
      </c>
      <c r="P180" s="793" t="s">
        <v>194</v>
      </c>
      <c r="Q180" s="869"/>
      <c r="R180" s="869"/>
      <c r="S180" s="886"/>
      <c r="T180" s="871"/>
      <c r="U180" s="854"/>
      <c r="V180" s="854"/>
      <c r="W180" s="854"/>
      <c r="X180" s="883"/>
      <c r="Y180" s="878"/>
      <c r="Z180" s="870"/>
      <c r="AA180" s="897"/>
      <c r="AB180" s="775"/>
      <c r="AC180" s="775"/>
      <c r="AD180" s="775"/>
      <c r="AE180" s="775"/>
      <c r="AF180" s="775"/>
      <c r="AG180" s="775"/>
      <c r="AH180" s="775"/>
      <c r="AI180" s="775"/>
      <c r="AJ180" s="775"/>
      <c r="AK180" s="775"/>
      <c r="AL180" s="775"/>
      <c r="AM180" s="775"/>
      <c r="AN180" s="775"/>
      <c r="AO180" s="775"/>
      <c r="AP180" s="775"/>
    </row>
    <row r="181" spans="1:42" s="141" customFormat="1" ht="15.75" customHeight="1">
      <c r="A181" s="868"/>
      <c r="B181" s="868"/>
      <c r="C181" s="867"/>
      <c r="D181" s="868"/>
      <c r="E181" s="868"/>
      <c r="F181" s="882"/>
      <c r="G181" s="875"/>
      <c r="H181" s="870"/>
      <c r="I181" s="766" t="s">
        <v>687</v>
      </c>
      <c r="J181" s="658">
        <f>VLOOKUP($I181,Prices!A:B,2,0)</f>
        <v>1</v>
      </c>
      <c r="K181" s="790">
        <f>VLOOKUP(I181,Prices!A:C,3,0)</f>
        <v>0</v>
      </c>
      <c r="L181" s="788" t="s">
        <v>224</v>
      </c>
      <c r="M181" s="788" t="str">
        <f t="shared" si="17"/>
        <v>undisclosed</v>
      </c>
      <c r="N181" s="647" t="str">
        <f>VLOOKUP($I181,Prices!A:D,4,0)</f>
        <v>.</v>
      </c>
      <c r="O181" s="772" t="s">
        <v>194</v>
      </c>
      <c r="P181" s="793" t="s">
        <v>194</v>
      </c>
      <c r="Q181" s="869"/>
      <c r="R181" s="869"/>
      <c r="S181" s="886"/>
      <c r="T181" s="871"/>
      <c r="U181" s="854"/>
      <c r="V181" s="854"/>
      <c r="W181" s="854"/>
      <c r="X181" s="883"/>
      <c r="Y181" s="878"/>
      <c r="Z181" s="870"/>
      <c r="AA181" s="897"/>
      <c r="AB181" s="775"/>
      <c r="AC181" s="775"/>
      <c r="AD181" s="775"/>
      <c r="AE181" s="775"/>
      <c r="AF181" s="775"/>
      <c r="AG181" s="775"/>
      <c r="AH181" s="775"/>
      <c r="AI181" s="775"/>
      <c r="AJ181" s="775"/>
      <c r="AK181" s="775"/>
      <c r="AL181" s="775"/>
      <c r="AM181" s="775"/>
      <c r="AN181" s="775"/>
      <c r="AO181" s="775"/>
      <c r="AP181" s="775"/>
    </row>
    <row r="182" spans="1:42" s="141" customFormat="1" ht="15.75" customHeight="1">
      <c r="A182" s="868"/>
      <c r="B182" s="868"/>
      <c r="C182" s="867"/>
      <c r="D182" s="868"/>
      <c r="E182" s="868"/>
      <c r="F182" s="882"/>
      <c r="G182" s="875"/>
      <c r="H182" s="870"/>
      <c r="I182" s="766" t="s">
        <v>688</v>
      </c>
      <c r="J182" s="658">
        <f>VLOOKUP($I182,Prices!A:B,2,0)</f>
        <v>1</v>
      </c>
      <c r="K182" s="790">
        <f>VLOOKUP(I182,Prices!A:C,3,0)</f>
        <v>0</v>
      </c>
      <c r="L182" s="788" t="s">
        <v>224</v>
      </c>
      <c r="M182" s="788" t="s">
        <v>224</v>
      </c>
      <c r="N182" s="647" t="s">
        <v>194</v>
      </c>
      <c r="O182" s="772" t="s">
        <v>194</v>
      </c>
      <c r="P182" s="793" t="s">
        <v>194</v>
      </c>
      <c r="Q182" s="869"/>
      <c r="R182" s="869"/>
      <c r="S182" s="886"/>
      <c r="T182" s="871"/>
      <c r="U182" s="756" t="s">
        <v>689</v>
      </c>
      <c r="V182" s="854"/>
      <c r="W182" s="854"/>
      <c r="X182" s="883"/>
      <c r="Y182" s="878"/>
      <c r="Z182" s="870"/>
      <c r="AA182" s="897"/>
      <c r="AB182" s="775"/>
      <c r="AC182" s="775"/>
      <c r="AD182" s="775"/>
      <c r="AE182" s="775"/>
      <c r="AF182" s="775"/>
      <c r="AG182" s="775"/>
      <c r="AH182" s="775"/>
      <c r="AI182" s="775"/>
      <c r="AJ182" s="775"/>
      <c r="AK182" s="775"/>
      <c r="AL182" s="775"/>
      <c r="AM182" s="775"/>
      <c r="AN182" s="775"/>
      <c r="AO182" s="775"/>
      <c r="AP182" s="775"/>
    </row>
    <row r="183" spans="1:42" s="141" customFormat="1" ht="15.75" customHeight="1">
      <c r="A183" s="775" t="s">
        <v>690</v>
      </c>
      <c r="B183" s="775" t="s">
        <v>666</v>
      </c>
      <c r="C183" s="780">
        <v>44657</v>
      </c>
      <c r="D183" s="775" t="s">
        <v>212</v>
      </c>
      <c r="E183" s="775" t="s">
        <v>221</v>
      </c>
      <c r="F183" s="765" t="s">
        <v>691</v>
      </c>
      <c r="G183" s="777">
        <v>5000000</v>
      </c>
      <c r="H183" s="757" t="s">
        <v>278</v>
      </c>
      <c r="I183" s="766" t="s">
        <v>692</v>
      </c>
      <c r="J183" s="658">
        <f>VLOOKUP($I183,Prices!A:B,2,0)</f>
        <v>1</v>
      </c>
      <c r="K183" s="790">
        <f>VLOOKUP(I183,Prices!A:C,3,0)</f>
        <v>0</v>
      </c>
      <c r="L183" s="788" t="s">
        <v>224</v>
      </c>
      <c r="M183" s="788" t="str">
        <f t="shared" si="17"/>
        <v>undisclosed</v>
      </c>
      <c r="N183" s="708">
        <f>VLOOKUP($I183,Prices!A:D,4,0)</f>
        <v>1.33</v>
      </c>
      <c r="O183" s="772" t="s">
        <v>194</v>
      </c>
      <c r="P183" s="793" t="s">
        <v>194</v>
      </c>
      <c r="Q183" s="772">
        <f>G183</f>
        <v>5000000</v>
      </c>
      <c r="R183" s="772">
        <f>Q183/VLOOKUP(H183, 'Currency Conversion'!B:C, 2, 0)</f>
        <v>5000000</v>
      </c>
      <c r="S183" s="749" t="s">
        <v>194</v>
      </c>
      <c r="T183" s="760" t="s">
        <v>298</v>
      </c>
      <c r="U183" s="756" t="s">
        <v>673</v>
      </c>
      <c r="V183" s="765" t="s">
        <v>194</v>
      </c>
      <c r="W183" s="765" t="s">
        <v>194</v>
      </c>
      <c r="X183" s="811" t="s">
        <v>194</v>
      </c>
      <c r="Y183" s="759">
        <v>0</v>
      </c>
      <c r="Z183" s="757">
        <v>0</v>
      </c>
      <c r="AA183" s="799" t="s">
        <v>194</v>
      </c>
      <c r="AB183" s="775"/>
      <c r="AC183" s="775"/>
      <c r="AD183" s="775"/>
      <c r="AE183" s="775"/>
      <c r="AF183" s="775"/>
      <c r="AG183" s="775"/>
      <c r="AH183" s="775"/>
      <c r="AI183" s="775"/>
      <c r="AJ183" s="775"/>
      <c r="AK183" s="775"/>
      <c r="AL183" s="775"/>
      <c r="AM183" s="775"/>
      <c r="AN183" s="775"/>
      <c r="AO183" s="775"/>
      <c r="AP183" s="775"/>
    </row>
    <row r="184" spans="1:42" s="661" customFormat="1" ht="127.5" customHeight="1">
      <c r="A184" s="775" t="s">
        <v>693</v>
      </c>
      <c r="B184" s="775" t="s">
        <v>666</v>
      </c>
      <c r="C184" s="780" t="s">
        <v>694</v>
      </c>
      <c r="D184" s="775" t="s">
        <v>190</v>
      </c>
      <c r="E184" s="775" t="s">
        <v>199</v>
      </c>
      <c r="F184" s="765" t="s">
        <v>695</v>
      </c>
      <c r="G184" s="777">
        <v>1949999</v>
      </c>
      <c r="H184" s="757" t="s">
        <v>278</v>
      </c>
      <c r="I184" s="766" t="s">
        <v>194</v>
      </c>
      <c r="J184" s="658" t="str">
        <f>VLOOKUP($I184,Prices!A:B,2,0)</f>
        <v>.</v>
      </c>
      <c r="K184" s="790" t="s">
        <v>194</v>
      </c>
      <c r="L184" s="665" t="s">
        <v>194</v>
      </c>
      <c r="M184" s="788" t="s">
        <v>194</v>
      </c>
      <c r="N184" s="647" t="str">
        <f>VLOOKUP($I184,Prices!A:D,4,0)</f>
        <v>.</v>
      </c>
      <c r="O184" s="772" t="s">
        <v>194</v>
      </c>
      <c r="P184" s="793" t="s">
        <v>194</v>
      </c>
      <c r="Q184" s="772">
        <f>G184</f>
        <v>1949999</v>
      </c>
      <c r="R184" s="772">
        <f>Q184/VLOOKUP(H184,'Currency Conversion'!B:C,2,0)</f>
        <v>1949999</v>
      </c>
      <c r="S184" s="749" t="s">
        <v>194</v>
      </c>
      <c r="T184" s="760" t="s">
        <v>195</v>
      </c>
      <c r="U184" s="756" t="s">
        <v>670</v>
      </c>
      <c r="V184" s="765" t="s">
        <v>194</v>
      </c>
      <c r="W184" s="765" t="s">
        <v>194</v>
      </c>
      <c r="X184" s="811" t="s">
        <v>194</v>
      </c>
      <c r="Y184" s="759">
        <v>0</v>
      </c>
      <c r="Z184" s="757">
        <v>0</v>
      </c>
      <c r="AA184" s="669" t="s">
        <v>194</v>
      </c>
    </row>
    <row r="185" spans="1:42" s="661" customFormat="1" ht="60.75" customHeight="1">
      <c r="A185" s="775" t="s">
        <v>696</v>
      </c>
      <c r="B185" s="775" t="s">
        <v>666</v>
      </c>
      <c r="C185" s="780">
        <v>44686</v>
      </c>
      <c r="D185" s="775" t="s">
        <v>190</v>
      </c>
      <c r="E185" s="775" t="s">
        <v>697</v>
      </c>
      <c r="F185" s="765" t="s">
        <v>698</v>
      </c>
      <c r="G185" s="777">
        <v>2900000</v>
      </c>
      <c r="H185" s="757" t="s">
        <v>278</v>
      </c>
      <c r="I185" s="766" t="s">
        <v>194</v>
      </c>
      <c r="J185" s="658" t="str">
        <f>VLOOKUP($I185,Prices!A:B,2,0)</f>
        <v>.</v>
      </c>
      <c r="K185" s="790" t="s">
        <v>194</v>
      </c>
      <c r="L185" s="665" t="s">
        <v>194</v>
      </c>
      <c r="M185" s="788" t="s">
        <v>194</v>
      </c>
      <c r="N185" s="708" t="str">
        <f>VLOOKUP($I185,Prices!A:D,4,0)</f>
        <v>.</v>
      </c>
      <c r="O185" s="772" t="s">
        <v>194</v>
      </c>
      <c r="P185" s="793" t="s">
        <v>194</v>
      </c>
      <c r="Q185" s="772">
        <f>G185</f>
        <v>2900000</v>
      </c>
      <c r="R185" s="772">
        <f>Q185/VLOOKUP(H185,'Currency Conversion'!B:C,2,0)</f>
        <v>2900000</v>
      </c>
      <c r="S185" s="749" t="s">
        <v>194</v>
      </c>
      <c r="T185" s="760" t="s">
        <v>240</v>
      </c>
      <c r="U185" s="756" t="s">
        <v>699</v>
      </c>
      <c r="V185" s="765" t="s">
        <v>194</v>
      </c>
      <c r="W185" s="765" t="s">
        <v>194</v>
      </c>
      <c r="X185" s="811" t="s">
        <v>194</v>
      </c>
      <c r="Y185" s="759">
        <v>0</v>
      </c>
      <c r="Z185" s="757">
        <v>0</v>
      </c>
      <c r="AA185" s="799" t="s">
        <v>194</v>
      </c>
    </row>
    <row r="186" spans="1:42" s="141" customFormat="1" ht="100.5" customHeight="1">
      <c r="A186" s="775" t="s">
        <v>700</v>
      </c>
      <c r="B186" s="775" t="s">
        <v>701</v>
      </c>
      <c r="C186" s="780">
        <v>44609</v>
      </c>
      <c r="D186" s="775" t="s">
        <v>190</v>
      </c>
      <c r="E186" s="775" t="s">
        <v>191</v>
      </c>
      <c r="F186" s="773" t="s">
        <v>702</v>
      </c>
      <c r="G186" s="777">
        <v>2000000</v>
      </c>
      <c r="H186" s="757" t="s">
        <v>278</v>
      </c>
      <c r="I186" s="775" t="s">
        <v>194</v>
      </c>
      <c r="J186" s="658" t="str">
        <f>VLOOKUP($I186,Prices!A:B,2,0)</f>
        <v>.</v>
      </c>
      <c r="K186" s="790" t="s">
        <v>194</v>
      </c>
      <c r="L186" s="788" t="s">
        <v>194</v>
      </c>
      <c r="M186" s="788" t="s">
        <v>194</v>
      </c>
      <c r="N186" s="647" t="str">
        <f>VLOOKUP($I186,Prices!A:D,4,0)</f>
        <v>.</v>
      </c>
      <c r="O186" s="772" t="s">
        <v>194</v>
      </c>
      <c r="P186" s="793" t="s">
        <v>194</v>
      </c>
      <c r="Q186" s="772">
        <f>G186</f>
        <v>2000000</v>
      </c>
      <c r="R186" s="772">
        <f>Q186/VLOOKUP(H186, 'Currency Conversion'!B:C, 2, 0)</f>
        <v>2000000</v>
      </c>
      <c r="S186" s="749" t="s">
        <v>194</v>
      </c>
      <c r="T186" s="757" t="s">
        <v>195</v>
      </c>
      <c r="U186" s="756" t="s">
        <v>703</v>
      </c>
      <c r="V186" s="765" t="s">
        <v>194</v>
      </c>
      <c r="W186" s="765" t="s">
        <v>194</v>
      </c>
      <c r="X186" s="811" t="s">
        <v>194</v>
      </c>
      <c r="Y186" s="759">
        <v>0</v>
      </c>
      <c r="Z186" s="757">
        <v>0</v>
      </c>
      <c r="AA186" s="781" t="s">
        <v>194</v>
      </c>
      <c r="AB186" s="775"/>
      <c r="AC186" s="775"/>
      <c r="AD186" s="775"/>
      <c r="AE186" s="775"/>
      <c r="AF186" s="775"/>
      <c r="AG186" s="775"/>
      <c r="AH186" s="775"/>
      <c r="AI186" s="775"/>
      <c r="AJ186" s="775"/>
      <c r="AK186" s="775"/>
      <c r="AL186" s="775"/>
      <c r="AM186" s="775"/>
      <c r="AN186" s="775"/>
      <c r="AO186" s="775"/>
      <c r="AP186" s="775"/>
    </row>
    <row r="187" spans="1:42" s="141" customFormat="1" ht="37.5" customHeight="1">
      <c r="A187" s="775" t="s">
        <v>704</v>
      </c>
      <c r="B187" s="775" t="s">
        <v>701</v>
      </c>
      <c r="C187" s="780">
        <v>44623</v>
      </c>
      <c r="D187" s="775" t="s">
        <v>190</v>
      </c>
      <c r="E187" s="775" t="s">
        <v>199</v>
      </c>
      <c r="F187" s="773" t="s">
        <v>705</v>
      </c>
      <c r="G187" s="777" t="s">
        <v>259</v>
      </c>
      <c r="H187" s="757" t="s">
        <v>194</v>
      </c>
      <c r="I187" s="775" t="s">
        <v>194</v>
      </c>
      <c r="J187" s="658" t="str">
        <f>VLOOKUP($I187,Prices!A:B,2,0)</f>
        <v>.</v>
      </c>
      <c r="K187" s="790" t="s">
        <v>194</v>
      </c>
      <c r="L187" s="788" t="s">
        <v>194</v>
      </c>
      <c r="M187" s="788" t="s">
        <v>194</v>
      </c>
      <c r="N187" s="788" t="s">
        <v>194</v>
      </c>
      <c r="O187" s="772" t="s">
        <v>194</v>
      </c>
      <c r="P187" s="793" t="s">
        <v>194</v>
      </c>
      <c r="Q187" s="772" t="s">
        <v>194</v>
      </c>
      <c r="R187" s="772" t="s">
        <v>194</v>
      </c>
      <c r="S187" s="749" t="s">
        <v>194</v>
      </c>
      <c r="T187" s="757" t="s">
        <v>240</v>
      </c>
      <c r="U187" s="756" t="s">
        <v>706</v>
      </c>
      <c r="V187" s="765" t="s">
        <v>194</v>
      </c>
      <c r="W187" s="765" t="s">
        <v>194</v>
      </c>
      <c r="X187" s="811" t="s">
        <v>194</v>
      </c>
      <c r="Y187" s="759">
        <v>0</v>
      </c>
      <c r="Z187" s="757">
        <v>0</v>
      </c>
      <c r="AA187" s="781"/>
      <c r="AB187" s="775"/>
      <c r="AC187" s="775"/>
      <c r="AD187" s="775"/>
      <c r="AE187" s="775"/>
      <c r="AF187" s="775"/>
      <c r="AG187" s="775"/>
      <c r="AH187" s="775"/>
      <c r="AI187" s="775"/>
      <c r="AJ187" s="775"/>
      <c r="AK187" s="775"/>
      <c r="AL187" s="775"/>
      <c r="AM187" s="775"/>
      <c r="AN187" s="775"/>
      <c r="AO187" s="775"/>
      <c r="AP187" s="775"/>
    </row>
    <row r="188" spans="1:42" s="141" customFormat="1" ht="25.5" customHeight="1">
      <c r="A188" s="868" t="s">
        <v>707</v>
      </c>
      <c r="B188" s="868" t="s">
        <v>701</v>
      </c>
      <c r="C188" s="867">
        <v>44623</v>
      </c>
      <c r="D188" s="868" t="s">
        <v>190</v>
      </c>
      <c r="E188" s="868" t="s">
        <v>199</v>
      </c>
      <c r="F188" s="890" t="s">
        <v>708</v>
      </c>
      <c r="G188" s="875" t="s">
        <v>201</v>
      </c>
      <c r="H188" s="870" t="s">
        <v>260</v>
      </c>
      <c r="I188" s="775" t="s">
        <v>709</v>
      </c>
      <c r="J188" s="658">
        <f>VLOOKUP($I188,Prices!A:B,2,0)</f>
        <v>0</v>
      </c>
      <c r="K188" s="790">
        <f>VLOOKUP(I188,Prices!A:C,3,0)</f>
        <v>0</v>
      </c>
      <c r="L188" s="788">
        <v>1</v>
      </c>
      <c r="M188" s="788" t="s">
        <v>194</v>
      </c>
      <c r="N188" s="788">
        <f>VLOOKUP($I188,Prices!A:D,4,0)</f>
        <v>4995</v>
      </c>
      <c r="O188" s="772">
        <f t="shared" si="13"/>
        <v>4995</v>
      </c>
      <c r="P188" s="793" t="s">
        <v>194</v>
      </c>
      <c r="Q188" s="869">
        <f>SUM(O188:O190)</f>
        <v>5310</v>
      </c>
      <c r="R188" s="869">
        <f>Q188/VLOOKUP(H188, 'Currency Conversion'!B:C, 2, 0)</f>
        <v>5028.409090909091</v>
      </c>
      <c r="S188" s="886" t="s">
        <v>194</v>
      </c>
      <c r="T188" s="870" t="s">
        <v>195</v>
      </c>
      <c r="U188" s="854" t="s">
        <v>706</v>
      </c>
      <c r="V188" s="882" t="s">
        <v>194</v>
      </c>
      <c r="W188" s="882" t="s">
        <v>194</v>
      </c>
      <c r="X188" s="900" t="s">
        <v>194</v>
      </c>
      <c r="Y188" s="878">
        <v>0</v>
      </c>
      <c r="Z188" s="870">
        <v>0</v>
      </c>
      <c r="AA188" s="781"/>
      <c r="AB188" s="775"/>
      <c r="AC188" s="775"/>
      <c r="AD188" s="775"/>
      <c r="AE188" s="775"/>
      <c r="AF188" s="775"/>
      <c r="AG188" s="775"/>
      <c r="AH188" s="775"/>
      <c r="AI188" s="775"/>
      <c r="AJ188" s="775"/>
      <c r="AK188" s="775"/>
      <c r="AL188" s="775"/>
      <c r="AM188" s="775"/>
      <c r="AN188" s="775"/>
      <c r="AO188" s="775"/>
      <c r="AP188" s="775"/>
    </row>
    <row r="189" spans="1:42" s="141" customFormat="1" ht="27" customHeight="1">
      <c r="A189" s="868"/>
      <c r="B189" s="868"/>
      <c r="C189" s="867"/>
      <c r="D189" s="868"/>
      <c r="E189" s="868"/>
      <c r="F189" s="890"/>
      <c r="G189" s="875"/>
      <c r="H189" s="870"/>
      <c r="I189" s="775" t="s">
        <v>710</v>
      </c>
      <c r="J189" s="658">
        <f>VLOOKUP($I189,Prices!A:B,2,0)</f>
        <v>0</v>
      </c>
      <c r="K189" s="790">
        <f>VLOOKUP(I189,Prices!A:C,3,0)</f>
        <v>0</v>
      </c>
      <c r="L189" s="788">
        <v>2</v>
      </c>
      <c r="M189" s="788" t="s">
        <v>194</v>
      </c>
      <c r="N189" s="788">
        <f>VLOOKUP($I189,Prices!A:D,4,0)</f>
        <v>95</v>
      </c>
      <c r="O189" s="772">
        <f t="shared" si="13"/>
        <v>190</v>
      </c>
      <c r="P189" s="793" t="s">
        <v>194</v>
      </c>
      <c r="Q189" s="869"/>
      <c r="R189" s="869"/>
      <c r="S189" s="886"/>
      <c r="T189" s="870"/>
      <c r="U189" s="854"/>
      <c r="V189" s="882"/>
      <c r="W189" s="882"/>
      <c r="X189" s="900"/>
      <c r="Y189" s="878"/>
      <c r="Z189" s="870"/>
      <c r="AA189" s="781"/>
      <c r="AB189" s="775"/>
      <c r="AC189" s="775"/>
      <c r="AD189" s="775"/>
      <c r="AE189" s="775"/>
      <c r="AF189" s="775"/>
      <c r="AG189" s="775"/>
      <c r="AH189" s="775"/>
      <c r="AI189" s="775"/>
      <c r="AJ189" s="775"/>
      <c r="AK189" s="775"/>
      <c r="AL189" s="775"/>
      <c r="AM189" s="775"/>
      <c r="AN189" s="775"/>
      <c r="AO189" s="775"/>
      <c r="AP189" s="775"/>
    </row>
    <row r="190" spans="1:42" s="141" customFormat="1" ht="23.25" customHeight="1">
      <c r="A190" s="868"/>
      <c r="B190" s="868"/>
      <c r="C190" s="867"/>
      <c r="D190" s="868"/>
      <c r="E190" s="868"/>
      <c r="F190" s="890"/>
      <c r="G190" s="875"/>
      <c r="H190" s="870"/>
      <c r="I190" s="775" t="s">
        <v>711</v>
      </c>
      <c r="J190" s="658">
        <f>VLOOKUP($I190,Prices!A:B,2,0)</f>
        <v>0</v>
      </c>
      <c r="K190" s="790">
        <f>VLOOKUP(I190,Prices!A:C,3,0)</f>
        <v>0</v>
      </c>
      <c r="L190" s="788">
        <v>5</v>
      </c>
      <c r="M190" s="788" t="s">
        <v>194</v>
      </c>
      <c r="N190" s="788">
        <f>VLOOKUP($I190,Prices!A:D,4,0)</f>
        <v>25</v>
      </c>
      <c r="O190" s="772">
        <f t="shared" si="13"/>
        <v>125</v>
      </c>
      <c r="P190" s="793" t="s">
        <v>194</v>
      </c>
      <c r="Q190" s="869"/>
      <c r="R190" s="869"/>
      <c r="S190" s="886"/>
      <c r="T190" s="870"/>
      <c r="U190" s="854"/>
      <c r="V190" s="882"/>
      <c r="W190" s="882"/>
      <c r="X190" s="900"/>
      <c r="Y190" s="878"/>
      <c r="Z190" s="870"/>
      <c r="AA190" s="781"/>
      <c r="AB190" s="775"/>
      <c r="AC190" s="775"/>
      <c r="AD190" s="775"/>
      <c r="AE190" s="775"/>
      <c r="AF190" s="775"/>
      <c r="AG190" s="775"/>
      <c r="AH190" s="775"/>
      <c r="AI190" s="775"/>
      <c r="AJ190" s="775"/>
      <c r="AK190" s="775"/>
      <c r="AL190" s="775"/>
      <c r="AM190" s="775"/>
      <c r="AN190" s="775"/>
      <c r="AO190" s="775"/>
      <c r="AP190" s="775"/>
    </row>
    <row r="191" spans="1:42" s="141" customFormat="1" ht="28.5" customHeight="1">
      <c r="A191" s="775" t="s">
        <v>712</v>
      </c>
      <c r="B191" s="775" t="s">
        <v>701</v>
      </c>
      <c r="C191" s="780" t="s">
        <v>713</v>
      </c>
      <c r="D191" s="775" t="s">
        <v>190</v>
      </c>
      <c r="E191" s="775" t="s">
        <v>199</v>
      </c>
      <c r="F191" s="773" t="s">
        <v>714</v>
      </c>
      <c r="G191" s="777" t="s">
        <v>259</v>
      </c>
      <c r="H191" s="757" t="s">
        <v>194</v>
      </c>
      <c r="I191" s="775" t="s">
        <v>194</v>
      </c>
      <c r="J191" s="658" t="str">
        <f>VLOOKUP($I191,Prices!A:B,2,0)</f>
        <v>.</v>
      </c>
      <c r="K191" s="790">
        <f>VLOOKUP(I191,Prices!A:C,3,0)</f>
        <v>0</v>
      </c>
      <c r="L191" s="788" t="s">
        <v>194</v>
      </c>
      <c r="M191" s="788" t="s">
        <v>194</v>
      </c>
      <c r="N191" s="788" t="s">
        <v>194</v>
      </c>
      <c r="O191" s="772" t="s">
        <v>194</v>
      </c>
      <c r="P191" s="793" t="s">
        <v>194</v>
      </c>
      <c r="Q191" s="772" t="s">
        <v>194</v>
      </c>
      <c r="R191" s="772" t="s">
        <v>194</v>
      </c>
      <c r="S191" s="749" t="s">
        <v>194</v>
      </c>
      <c r="T191" s="757" t="s">
        <v>240</v>
      </c>
      <c r="U191" s="756" t="s">
        <v>706</v>
      </c>
      <c r="V191" s="765" t="s">
        <v>194</v>
      </c>
      <c r="W191" s="765" t="s">
        <v>194</v>
      </c>
      <c r="X191" s="811" t="s">
        <v>194</v>
      </c>
      <c r="Y191" s="759">
        <v>0</v>
      </c>
      <c r="Z191" s="757">
        <v>0</v>
      </c>
      <c r="AA191" s="781"/>
      <c r="AB191" s="775"/>
      <c r="AC191" s="775"/>
      <c r="AD191" s="775"/>
      <c r="AE191" s="775"/>
      <c r="AF191" s="775"/>
      <c r="AG191" s="775"/>
      <c r="AH191" s="775"/>
      <c r="AI191" s="775"/>
      <c r="AJ191" s="775"/>
      <c r="AK191" s="775"/>
      <c r="AL191" s="775"/>
      <c r="AM191" s="775"/>
      <c r="AN191" s="775"/>
      <c r="AO191" s="775"/>
      <c r="AP191" s="775"/>
    </row>
    <row r="192" spans="1:42" s="141" customFormat="1" ht="31.5" customHeight="1">
      <c r="A192" s="775" t="s">
        <v>715</v>
      </c>
      <c r="B192" s="775" t="s">
        <v>701</v>
      </c>
      <c r="C192" s="780">
        <v>44635</v>
      </c>
      <c r="D192" s="775" t="s">
        <v>190</v>
      </c>
      <c r="E192" s="775" t="s">
        <v>199</v>
      </c>
      <c r="F192" s="773" t="s">
        <v>716</v>
      </c>
      <c r="G192" s="777" t="s">
        <v>201</v>
      </c>
      <c r="H192" s="757" t="s">
        <v>260</v>
      </c>
      <c r="I192" s="775" t="s">
        <v>558</v>
      </c>
      <c r="J192" s="658">
        <f>VLOOKUP($I192,Prices!A:B,2,0)</f>
        <v>0</v>
      </c>
      <c r="K192" s="790">
        <f>VLOOKUP(I192,Prices!A:C,3,0)</f>
        <v>0</v>
      </c>
      <c r="L192" s="788">
        <v>2</v>
      </c>
      <c r="M192" s="788" t="s">
        <v>194</v>
      </c>
      <c r="N192" s="788">
        <f>VLOOKUP($I192,Prices!A:D,4,0)</f>
        <v>400000</v>
      </c>
      <c r="O192" s="772">
        <f t="shared" si="13"/>
        <v>800000</v>
      </c>
      <c r="P192" s="793" t="s">
        <v>194</v>
      </c>
      <c r="Q192" s="772">
        <f>O192</f>
        <v>800000</v>
      </c>
      <c r="R192" s="772">
        <f>Q192/VLOOKUP(H192, 'Currency Conversion'!B:C, 2, 0)</f>
        <v>757575.75757575757</v>
      </c>
      <c r="S192" s="749" t="s">
        <v>194</v>
      </c>
      <c r="T192" s="757" t="s">
        <v>240</v>
      </c>
      <c r="U192" s="756" t="s">
        <v>706</v>
      </c>
      <c r="V192" s="765" t="s">
        <v>194</v>
      </c>
      <c r="W192" s="765" t="s">
        <v>194</v>
      </c>
      <c r="X192" s="811" t="s">
        <v>194</v>
      </c>
      <c r="Y192" s="759">
        <v>0</v>
      </c>
      <c r="Z192" s="757">
        <v>0</v>
      </c>
      <c r="AA192" s="781"/>
      <c r="AB192" s="775"/>
      <c r="AC192" s="775"/>
      <c r="AD192" s="775"/>
      <c r="AE192" s="775"/>
      <c r="AF192" s="775"/>
      <c r="AG192" s="775"/>
      <c r="AH192" s="775"/>
      <c r="AI192" s="775"/>
      <c r="AJ192" s="775"/>
      <c r="AK192" s="775"/>
      <c r="AL192" s="775"/>
      <c r="AM192" s="775"/>
      <c r="AN192" s="775"/>
      <c r="AO192" s="775"/>
      <c r="AP192" s="775"/>
    </row>
    <row r="193" spans="1:42" s="141" customFormat="1" ht="27.75" customHeight="1">
      <c r="A193" s="775" t="s">
        <v>717</v>
      </c>
      <c r="B193" s="775" t="s">
        <v>701</v>
      </c>
      <c r="C193" s="780">
        <v>44638</v>
      </c>
      <c r="D193" s="775" t="s">
        <v>190</v>
      </c>
      <c r="E193" s="775" t="s">
        <v>199</v>
      </c>
      <c r="F193" s="773" t="s">
        <v>718</v>
      </c>
      <c r="G193" s="777" t="s">
        <v>201</v>
      </c>
      <c r="H193" s="757" t="s">
        <v>260</v>
      </c>
      <c r="I193" s="775" t="s">
        <v>272</v>
      </c>
      <c r="J193" s="658">
        <f>VLOOKUP($I193,Prices!A:B,2,0)</f>
        <v>0</v>
      </c>
      <c r="K193" s="790">
        <f>VLOOKUP(I193,Prices!A:C,3,0)</f>
        <v>0</v>
      </c>
      <c r="L193" s="788">
        <v>4</v>
      </c>
      <c r="M193" s="788" t="s">
        <v>194</v>
      </c>
      <c r="N193" s="788">
        <f>VLOOKUP($I193,Prices!A:D,4,0)</f>
        <v>220000</v>
      </c>
      <c r="O193" s="772">
        <f t="shared" si="13"/>
        <v>880000</v>
      </c>
      <c r="P193" s="793" t="s">
        <v>194</v>
      </c>
      <c r="Q193" s="772">
        <f t="shared" ref="Q193:Q199" si="18">O193</f>
        <v>880000</v>
      </c>
      <c r="R193" s="772">
        <f>Q193/VLOOKUP(H193, 'Currency Conversion'!B:C, 2, 0)</f>
        <v>833333.33333333326</v>
      </c>
      <c r="S193" s="749" t="s">
        <v>194</v>
      </c>
      <c r="T193" s="757" t="s">
        <v>240</v>
      </c>
      <c r="U193" s="756" t="s">
        <v>706</v>
      </c>
      <c r="V193" s="765" t="s">
        <v>194</v>
      </c>
      <c r="W193" s="765" t="s">
        <v>194</v>
      </c>
      <c r="X193" s="811" t="s">
        <v>194</v>
      </c>
      <c r="Y193" s="759">
        <v>0</v>
      </c>
      <c r="Z193" s="757">
        <v>0</v>
      </c>
      <c r="AA193" s="781"/>
      <c r="AB193" s="775"/>
      <c r="AC193" s="775"/>
      <c r="AD193" s="775"/>
      <c r="AE193" s="775"/>
      <c r="AF193" s="775"/>
      <c r="AG193" s="775"/>
      <c r="AH193" s="775"/>
      <c r="AI193" s="775"/>
      <c r="AJ193" s="775"/>
      <c r="AK193" s="775"/>
      <c r="AL193" s="775"/>
      <c r="AM193" s="775"/>
      <c r="AN193" s="775"/>
      <c r="AO193" s="775"/>
      <c r="AP193" s="775"/>
    </row>
    <row r="194" spans="1:42" s="141" customFormat="1" ht="24" customHeight="1">
      <c r="A194" s="775" t="s">
        <v>719</v>
      </c>
      <c r="B194" s="775" t="s">
        <v>701</v>
      </c>
      <c r="C194" s="780">
        <v>44639</v>
      </c>
      <c r="D194" s="775" t="s">
        <v>190</v>
      </c>
      <c r="E194" s="775" t="s">
        <v>199</v>
      </c>
      <c r="F194" s="773" t="s">
        <v>720</v>
      </c>
      <c r="G194" s="777" t="s">
        <v>201</v>
      </c>
      <c r="H194" s="757" t="s">
        <v>260</v>
      </c>
      <c r="I194" s="775" t="s">
        <v>272</v>
      </c>
      <c r="J194" s="658">
        <f>VLOOKUP($I194,Prices!A:B,2,0)</f>
        <v>0</v>
      </c>
      <c r="K194" s="790">
        <f>VLOOKUP(I194,Prices!A:C,3,0)</f>
        <v>0</v>
      </c>
      <c r="L194" s="788">
        <v>2</v>
      </c>
      <c r="M194" s="788" t="s">
        <v>194</v>
      </c>
      <c r="N194" s="788">
        <f>VLOOKUP($I194,Prices!A:D,4,0)</f>
        <v>220000</v>
      </c>
      <c r="O194" s="772">
        <f t="shared" si="13"/>
        <v>440000</v>
      </c>
      <c r="P194" s="793" t="s">
        <v>194</v>
      </c>
      <c r="Q194" s="772">
        <f t="shared" si="18"/>
        <v>440000</v>
      </c>
      <c r="R194" s="772">
        <f>Q194/VLOOKUP(H194, 'Currency Conversion'!B:C, 2, 0)</f>
        <v>416666.66666666663</v>
      </c>
      <c r="S194" s="749" t="s">
        <v>194</v>
      </c>
      <c r="T194" s="757" t="s">
        <v>240</v>
      </c>
      <c r="U194" s="756" t="s">
        <v>706</v>
      </c>
      <c r="V194" s="765" t="s">
        <v>194</v>
      </c>
      <c r="W194" s="765" t="s">
        <v>194</v>
      </c>
      <c r="X194" s="811" t="s">
        <v>194</v>
      </c>
      <c r="Y194" s="759">
        <v>0</v>
      </c>
      <c r="Z194" s="757">
        <v>0</v>
      </c>
      <c r="AA194" s="781"/>
      <c r="AB194" s="775"/>
      <c r="AC194" s="775"/>
      <c r="AD194" s="775"/>
      <c r="AE194" s="775"/>
      <c r="AF194" s="775"/>
      <c r="AG194" s="775"/>
      <c r="AH194" s="775"/>
      <c r="AI194" s="775"/>
      <c r="AJ194" s="775"/>
      <c r="AK194" s="775"/>
      <c r="AL194" s="775"/>
      <c r="AM194" s="775"/>
      <c r="AN194" s="775"/>
      <c r="AO194" s="775"/>
      <c r="AP194" s="775"/>
    </row>
    <row r="195" spans="1:42" s="141" customFormat="1" ht="24" customHeight="1">
      <c r="A195" s="775" t="s">
        <v>721</v>
      </c>
      <c r="B195" s="775" t="s">
        <v>701</v>
      </c>
      <c r="C195" s="780">
        <v>44643</v>
      </c>
      <c r="D195" s="775" t="s">
        <v>190</v>
      </c>
      <c r="E195" s="775" t="s">
        <v>199</v>
      </c>
      <c r="F195" s="773" t="s">
        <v>720</v>
      </c>
      <c r="G195" s="777" t="s">
        <v>201</v>
      </c>
      <c r="H195" s="757" t="s">
        <v>260</v>
      </c>
      <c r="I195" s="775" t="s">
        <v>272</v>
      </c>
      <c r="J195" s="658">
        <f>VLOOKUP($I195,Prices!A:B,2,0)</f>
        <v>0</v>
      </c>
      <c r="K195" s="790">
        <f>VLOOKUP(I195,Prices!A:C,3,0)</f>
        <v>0</v>
      </c>
      <c r="L195" s="788">
        <v>2</v>
      </c>
      <c r="M195" s="788" t="s">
        <v>194</v>
      </c>
      <c r="N195" s="788">
        <f>VLOOKUP($I195,Prices!A:D,4,0)</f>
        <v>220000</v>
      </c>
      <c r="O195" s="772">
        <f t="shared" si="13"/>
        <v>440000</v>
      </c>
      <c r="P195" s="793" t="s">
        <v>194</v>
      </c>
      <c r="Q195" s="772">
        <f t="shared" si="18"/>
        <v>440000</v>
      </c>
      <c r="R195" s="772">
        <f>Q195/VLOOKUP(H195, 'Currency Conversion'!B:C, 2, 0)</f>
        <v>416666.66666666663</v>
      </c>
      <c r="S195" s="749" t="s">
        <v>194</v>
      </c>
      <c r="T195" s="757" t="s">
        <v>240</v>
      </c>
      <c r="U195" s="756" t="s">
        <v>706</v>
      </c>
      <c r="V195" s="765" t="s">
        <v>194</v>
      </c>
      <c r="W195" s="765" t="s">
        <v>194</v>
      </c>
      <c r="X195" s="811" t="s">
        <v>194</v>
      </c>
      <c r="Y195" s="759">
        <v>0</v>
      </c>
      <c r="Z195" s="757">
        <v>0</v>
      </c>
      <c r="AA195" s="781"/>
      <c r="AB195" s="775"/>
      <c r="AC195" s="775"/>
      <c r="AD195" s="775"/>
      <c r="AE195" s="775"/>
      <c r="AF195" s="775"/>
      <c r="AG195" s="775"/>
      <c r="AH195" s="775"/>
      <c r="AI195" s="775"/>
      <c r="AJ195" s="775"/>
      <c r="AK195" s="775"/>
      <c r="AL195" s="775"/>
      <c r="AM195" s="775"/>
      <c r="AN195" s="775"/>
      <c r="AO195" s="775"/>
      <c r="AP195" s="775"/>
    </row>
    <row r="196" spans="1:42" s="141" customFormat="1" ht="18.75" customHeight="1">
      <c r="A196" s="775" t="s">
        <v>722</v>
      </c>
      <c r="B196" s="775" t="s">
        <v>701</v>
      </c>
      <c r="C196" s="780">
        <v>44644</v>
      </c>
      <c r="D196" s="775" t="s">
        <v>190</v>
      </c>
      <c r="E196" s="775" t="s">
        <v>199</v>
      </c>
      <c r="F196" s="773" t="s">
        <v>723</v>
      </c>
      <c r="G196" s="777" t="s">
        <v>201</v>
      </c>
      <c r="H196" s="757" t="s">
        <v>194</v>
      </c>
      <c r="I196" s="775" t="s">
        <v>194</v>
      </c>
      <c r="J196" s="658" t="str">
        <f>VLOOKUP($I196,Prices!A:B,2,0)</f>
        <v>.</v>
      </c>
      <c r="K196" s="790">
        <f>VLOOKUP(I196,Prices!A:C,3,0)</f>
        <v>0</v>
      </c>
      <c r="L196" s="788" t="s">
        <v>194</v>
      </c>
      <c r="M196" s="788" t="s">
        <v>194</v>
      </c>
      <c r="N196" s="788" t="s">
        <v>194</v>
      </c>
      <c r="O196" s="772" t="s">
        <v>194</v>
      </c>
      <c r="P196" s="793" t="s">
        <v>194</v>
      </c>
      <c r="Q196" s="772" t="s">
        <v>194</v>
      </c>
      <c r="R196" s="772" t="s">
        <v>194</v>
      </c>
      <c r="S196" s="749" t="s">
        <v>194</v>
      </c>
      <c r="T196" s="757" t="s">
        <v>240</v>
      </c>
      <c r="U196" s="756" t="s">
        <v>706</v>
      </c>
      <c r="V196" s="765" t="s">
        <v>194</v>
      </c>
      <c r="W196" s="765" t="s">
        <v>194</v>
      </c>
      <c r="X196" s="811" t="s">
        <v>194</v>
      </c>
      <c r="Y196" s="759">
        <v>0</v>
      </c>
      <c r="Z196" s="757">
        <v>0</v>
      </c>
      <c r="AA196" s="781"/>
      <c r="AB196" s="775"/>
      <c r="AC196" s="775"/>
      <c r="AD196" s="775"/>
      <c r="AE196" s="775"/>
      <c r="AF196" s="775"/>
      <c r="AG196" s="775"/>
      <c r="AH196" s="775"/>
      <c r="AI196" s="775"/>
      <c r="AJ196" s="775"/>
      <c r="AK196" s="775"/>
      <c r="AL196" s="775"/>
      <c r="AM196" s="775"/>
      <c r="AN196" s="775"/>
      <c r="AO196" s="775"/>
      <c r="AP196" s="775"/>
    </row>
    <row r="197" spans="1:42" s="141" customFormat="1" ht="24.75" customHeight="1">
      <c r="A197" s="775" t="s">
        <v>724</v>
      </c>
      <c r="B197" s="775" t="s">
        <v>701</v>
      </c>
      <c r="C197" s="780">
        <v>44645</v>
      </c>
      <c r="D197" s="775" t="s">
        <v>190</v>
      </c>
      <c r="E197" s="775" t="s">
        <v>199</v>
      </c>
      <c r="F197" s="773" t="s">
        <v>725</v>
      </c>
      <c r="G197" s="777" t="s">
        <v>201</v>
      </c>
      <c r="H197" s="757" t="s">
        <v>194</v>
      </c>
      <c r="I197" s="775" t="s">
        <v>194</v>
      </c>
      <c r="J197" s="658" t="str">
        <f>VLOOKUP($I197,Prices!A:B,2,0)</f>
        <v>.</v>
      </c>
      <c r="K197" s="790">
        <f>VLOOKUP(I197,Prices!A:C,3,0)</f>
        <v>0</v>
      </c>
      <c r="L197" s="788" t="s">
        <v>194</v>
      </c>
      <c r="M197" s="788" t="s">
        <v>194</v>
      </c>
      <c r="N197" s="788" t="s">
        <v>194</v>
      </c>
      <c r="O197" s="772" t="s">
        <v>194</v>
      </c>
      <c r="P197" s="793" t="s">
        <v>194</v>
      </c>
      <c r="Q197" s="772" t="s">
        <v>194</v>
      </c>
      <c r="R197" s="772" t="s">
        <v>194</v>
      </c>
      <c r="S197" s="749" t="s">
        <v>194</v>
      </c>
      <c r="T197" s="757" t="s">
        <v>240</v>
      </c>
      <c r="U197" s="756" t="s">
        <v>706</v>
      </c>
      <c r="V197" s="765" t="s">
        <v>194</v>
      </c>
      <c r="W197" s="765" t="s">
        <v>194</v>
      </c>
      <c r="X197" s="811" t="s">
        <v>194</v>
      </c>
      <c r="Y197" s="759">
        <v>0</v>
      </c>
      <c r="Z197" s="757">
        <v>0</v>
      </c>
      <c r="AA197" s="781"/>
      <c r="AB197" s="775"/>
      <c r="AC197" s="775"/>
      <c r="AD197" s="775"/>
      <c r="AE197" s="775"/>
      <c r="AF197" s="775"/>
      <c r="AG197" s="775"/>
      <c r="AH197" s="775"/>
      <c r="AI197" s="775"/>
      <c r="AJ197" s="775"/>
      <c r="AK197" s="775"/>
      <c r="AL197" s="775"/>
      <c r="AM197" s="775"/>
      <c r="AN197" s="775"/>
      <c r="AO197" s="775"/>
      <c r="AP197" s="775"/>
    </row>
    <row r="198" spans="1:42" s="141" customFormat="1" ht="25.5" customHeight="1">
      <c r="A198" s="775" t="s">
        <v>726</v>
      </c>
      <c r="B198" s="775" t="s">
        <v>701</v>
      </c>
      <c r="C198" s="780">
        <v>44646</v>
      </c>
      <c r="D198" s="775" t="s">
        <v>190</v>
      </c>
      <c r="E198" s="775" t="s">
        <v>199</v>
      </c>
      <c r="F198" s="773" t="s">
        <v>727</v>
      </c>
      <c r="G198" s="777" t="s">
        <v>201</v>
      </c>
      <c r="H198" s="757" t="s">
        <v>260</v>
      </c>
      <c r="I198" s="775" t="s">
        <v>272</v>
      </c>
      <c r="J198" s="658">
        <f>VLOOKUP($I198,Prices!A:B,2,0)</f>
        <v>0</v>
      </c>
      <c r="K198" s="790">
        <f>VLOOKUP(I198,Prices!A:C,3,0)</f>
        <v>0</v>
      </c>
      <c r="L198" s="788">
        <v>1</v>
      </c>
      <c r="M198" s="788" t="s">
        <v>194</v>
      </c>
      <c r="N198" s="788">
        <f>VLOOKUP($I198,Prices!A:D,4,0)</f>
        <v>220000</v>
      </c>
      <c r="O198" s="772">
        <f t="shared" si="13"/>
        <v>220000</v>
      </c>
      <c r="P198" s="793" t="s">
        <v>194</v>
      </c>
      <c r="Q198" s="772">
        <f t="shared" si="18"/>
        <v>220000</v>
      </c>
      <c r="R198" s="772">
        <f>Q198/VLOOKUP(H198, 'Currency Conversion'!B:C, 2, 0)</f>
        <v>208333.33333333331</v>
      </c>
      <c r="S198" s="749" t="s">
        <v>194</v>
      </c>
      <c r="T198" s="757" t="s">
        <v>240</v>
      </c>
      <c r="U198" s="756" t="s">
        <v>706</v>
      </c>
      <c r="V198" s="765" t="s">
        <v>194</v>
      </c>
      <c r="W198" s="765" t="s">
        <v>194</v>
      </c>
      <c r="X198" s="811" t="s">
        <v>194</v>
      </c>
      <c r="Y198" s="759">
        <v>0</v>
      </c>
      <c r="Z198" s="757">
        <v>0</v>
      </c>
      <c r="AA198" s="781"/>
      <c r="AB198" s="775"/>
      <c r="AC198" s="775"/>
      <c r="AD198" s="775"/>
      <c r="AE198" s="775"/>
      <c r="AF198" s="775"/>
      <c r="AG198" s="775"/>
      <c r="AH198" s="775"/>
      <c r="AI198" s="775"/>
      <c r="AJ198" s="775"/>
      <c r="AK198" s="775"/>
      <c r="AL198" s="775"/>
      <c r="AM198" s="775"/>
      <c r="AN198" s="775"/>
      <c r="AO198" s="775"/>
      <c r="AP198" s="775"/>
    </row>
    <row r="199" spans="1:42" s="141" customFormat="1" ht="32.25" customHeight="1">
      <c r="A199" s="775" t="s">
        <v>728</v>
      </c>
      <c r="B199" s="775" t="s">
        <v>701</v>
      </c>
      <c r="C199" s="780">
        <v>44656</v>
      </c>
      <c r="D199" s="775" t="s">
        <v>190</v>
      </c>
      <c r="E199" s="775" t="s">
        <v>199</v>
      </c>
      <c r="F199" s="773" t="s">
        <v>729</v>
      </c>
      <c r="G199" s="777" t="s">
        <v>201</v>
      </c>
      <c r="H199" s="757" t="s">
        <v>260</v>
      </c>
      <c r="I199" s="775" t="s">
        <v>272</v>
      </c>
      <c r="J199" s="658">
        <f>VLOOKUP($I199,Prices!A:B,2,0)</f>
        <v>0</v>
      </c>
      <c r="K199" s="790">
        <f>VLOOKUP(I199,Prices!A:C,3,0)</f>
        <v>0</v>
      </c>
      <c r="L199" s="788">
        <v>2</v>
      </c>
      <c r="M199" s="788" t="s">
        <v>194</v>
      </c>
      <c r="N199" s="788">
        <f>VLOOKUP($I199,Prices!A:D,4,0)</f>
        <v>220000</v>
      </c>
      <c r="O199" s="772">
        <f t="shared" si="13"/>
        <v>440000</v>
      </c>
      <c r="P199" s="793" t="s">
        <v>194</v>
      </c>
      <c r="Q199" s="772">
        <f t="shared" si="18"/>
        <v>440000</v>
      </c>
      <c r="R199" s="772">
        <f>Q199/VLOOKUP(H199, 'Currency Conversion'!B:C, 2, 0)</f>
        <v>416666.66666666663</v>
      </c>
      <c r="S199" s="749" t="s">
        <v>194</v>
      </c>
      <c r="T199" s="757" t="s">
        <v>240</v>
      </c>
      <c r="U199" s="756" t="s">
        <v>706</v>
      </c>
      <c r="V199" s="765" t="s">
        <v>194</v>
      </c>
      <c r="W199" s="765" t="s">
        <v>194</v>
      </c>
      <c r="X199" s="811" t="s">
        <v>194</v>
      </c>
      <c r="Y199" s="759">
        <v>0</v>
      </c>
      <c r="Z199" s="757">
        <v>0</v>
      </c>
      <c r="AA199" s="781"/>
      <c r="AB199" s="775"/>
      <c r="AC199" s="775"/>
      <c r="AD199" s="775"/>
      <c r="AE199" s="775"/>
      <c r="AF199" s="775"/>
      <c r="AG199" s="775"/>
      <c r="AH199" s="775"/>
      <c r="AI199" s="775"/>
      <c r="AJ199" s="775"/>
      <c r="AK199" s="775"/>
      <c r="AL199" s="775"/>
      <c r="AM199" s="775"/>
      <c r="AN199" s="775"/>
      <c r="AO199" s="775"/>
      <c r="AP199" s="775"/>
    </row>
    <row r="200" spans="1:42" ht="59.1" customHeight="1">
      <c r="A200" s="767" t="s">
        <v>730</v>
      </c>
      <c r="B200" s="767" t="s">
        <v>701</v>
      </c>
      <c r="C200" s="768">
        <v>44665</v>
      </c>
      <c r="D200" s="767" t="s">
        <v>190</v>
      </c>
      <c r="E200" s="767" t="s">
        <v>199</v>
      </c>
      <c r="F200" s="787" t="s">
        <v>731</v>
      </c>
      <c r="G200" s="770" t="s">
        <v>201</v>
      </c>
      <c r="H200" s="761" t="s">
        <v>260</v>
      </c>
      <c r="I200" s="767" t="s">
        <v>272</v>
      </c>
      <c r="J200" s="658">
        <f>VLOOKUP($I200,Prices!A:B,2,0)</f>
        <v>0</v>
      </c>
      <c r="K200" s="790">
        <f>VLOOKUP(I200,Prices!A:C,3,0)</f>
        <v>0</v>
      </c>
      <c r="L200" s="651">
        <v>2</v>
      </c>
      <c r="M200" s="651" t="s">
        <v>194</v>
      </c>
      <c r="N200" s="707">
        <f>VLOOKUP($I200,Prices!A:D,4,0)</f>
        <v>220000</v>
      </c>
      <c r="O200" s="772">
        <f t="shared" ref="O200:O265" si="19">$L200*$N200</f>
        <v>440000</v>
      </c>
      <c r="P200" s="793" t="s">
        <v>194</v>
      </c>
      <c r="Q200" s="769">
        <f>O200</f>
        <v>440000</v>
      </c>
      <c r="R200" s="769">
        <f>Q200/VLOOKUP(H200, 'Currency Conversion'!B:C, 2, 0)</f>
        <v>416666.66666666663</v>
      </c>
      <c r="S200" s="763" t="s">
        <v>194</v>
      </c>
      <c r="T200" s="761" t="s">
        <v>240</v>
      </c>
      <c r="U200" s="756" t="s">
        <v>732</v>
      </c>
      <c r="V200" s="787" t="s">
        <v>194</v>
      </c>
      <c r="W200" s="787" t="s">
        <v>194</v>
      </c>
      <c r="X200" s="771" t="s">
        <v>194</v>
      </c>
      <c r="Y200" s="759">
        <v>0</v>
      </c>
      <c r="Z200" s="761">
        <v>0</v>
      </c>
      <c r="AA200" s="802" t="s">
        <v>194</v>
      </c>
      <c r="AB200" s="767"/>
      <c r="AC200" s="767"/>
      <c r="AD200" s="767"/>
      <c r="AE200" s="767"/>
      <c r="AF200" s="767"/>
      <c r="AG200" s="767"/>
      <c r="AH200" s="767"/>
      <c r="AI200" s="767"/>
      <c r="AJ200" s="767"/>
      <c r="AK200" s="767"/>
      <c r="AL200" s="767"/>
      <c r="AM200" s="767"/>
      <c r="AN200" s="767"/>
      <c r="AO200" s="767"/>
      <c r="AP200" s="767"/>
    </row>
    <row r="201" spans="1:42" s="141" customFormat="1" ht="21" customHeight="1">
      <c r="A201" s="868" t="s">
        <v>733</v>
      </c>
      <c r="B201" s="868" t="s">
        <v>701</v>
      </c>
      <c r="C201" s="867">
        <v>44619</v>
      </c>
      <c r="D201" s="868" t="s">
        <v>212</v>
      </c>
      <c r="E201" s="868" t="s">
        <v>213</v>
      </c>
      <c r="F201" s="890" t="s">
        <v>734</v>
      </c>
      <c r="G201" s="875">
        <v>29300000</v>
      </c>
      <c r="H201" s="870" t="s">
        <v>278</v>
      </c>
      <c r="I201" s="775" t="s">
        <v>348</v>
      </c>
      <c r="J201" s="658">
        <f>VLOOKUP($I201,Prices!A:B,2,0)</f>
        <v>1</v>
      </c>
      <c r="K201" s="790">
        <f>VLOOKUP(I201,Prices!A:C,3,0)</f>
        <v>0</v>
      </c>
      <c r="L201" s="788">
        <v>2000</v>
      </c>
      <c r="M201" s="788">
        <v>2000</v>
      </c>
      <c r="N201" s="647">
        <f>VLOOKUP($I201,Prices!A:D,4,0)</f>
        <v>500</v>
      </c>
      <c r="O201" s="772">
        <f t="shared" si="19"/>
        <v>1000000</v>
      </c>
      <c r="P201" s="793">
        <f t="shared" si="14"/>
        <v>1000000</v>
      </c>
      <c r="Q201" s="869">
        <f>G201</f>
        <v>29300000</v>
      </c>
      <c r="R201" s="869">
        <f>Q201/VLOOKUP(H201, 'Currency Conversion'!B:C, 2, 0)</f>
        <v>29300000</v>
      </c>
      <c r="S201" s="886">
        <f>R201</f>
        <v>29300000</v>
      </c>
      <c r="T201" s="870" t="s">
        <v>195</v>
      </c>
      <c r="U201" s="854" t="s">
        <v>735</v>
      </c>
      <c r="V201" s="854" t="s">
        <v>736</v>
      </c>
      <c r="W201" s="854" t="s">
        <v>737</v>
      </c>
      <c r="X201" s="896" t="s">
        <v>194</v>
      </c>
      <c r="Y201" s="878">
        <v>0</v>
      </c>
      <c r="Z201" s="870">
        <v>0</v>
      </c>
      <c r="AA201" s="899" t="s">
        <v>738</v>
      </c>
      <c r="AB201" s="775"/>
      <c r="AC201" s="775"/>
      <c r="AD201" s="775"/>
      <c r="AE201" s="775"/>
      <c r="AF201" s="775"/>
      <c r="AG201" s="775"/>
      <c r="AH201" s="775"/>
      <c r="AI201" s="775"/>
      <c r="AJ201" s="775"/>
      <c r="AK201" s="775"/>
      <c r="AL201" s="775"/>
      <c r="AM201" s="775"/>
      <c r="AN201" s="775"/>
      <c r="AO201" s="775"/>
      <c r="AP201" s="775"/>
    </row>
    <row r="202" spans="1:42" s="141" customFormat="1" ht="15.95" customHeight="1">
      <c r="A202" s="868"/>
      <c r="B202" s="868"/>
      <c r="C202" s="867"/>
      <c r="D202" s="868"/>
      <c r="E202" s="868"/>
      <c r="F202" s="890"/>
      <c r="G202" s="875"/>
      <c r="H202" s="870"/>
      <c r="I202" s="775" t="s">
        <v>344</v>
      </c>
      <c r="J202" s="658">
        <f>VLOOKUP($I202,Prices!A:B,2,0)</f>
        <v>1</v>
      </c>
      <c r="K202" s="790">
        <f>VLOOKUP(I202,Prices!A:C,3,0)</f>
        <v>0</v>
      </c>
      <c r="L202" s="788">
        <v>2000</v>
      </c>
      <c r="M202" s="788">
        <v>2000</v>
      </c>
      <c r="N202" s="708">
        <f>VLOOKUP($I202,Prices!A:D,4,0)</f>
        <v>1400</v>
      </c>
      <c r="O202" s="772">
        <f t="shared" si="19"/>
        <v>2800000</v>
      </c>
      <c r="P202" s="793">
        <f t="shared" si="14"/>
        <v>2800000</v>
      </c>
      <c r="Q202" s="869"/>
      <c r="R202" s="869"/>
      <c r="S202" s="886"/>
      <c r="T202" s="870"/>
      <c r="U202" s="854"/>
      <c r="V202" s="854"/>
      <c r="W202" s="854"/>
      <c r="X202" s="896"/>
      <c r="Y202" s="878"/>
      <c r="Z202" s="870"/>
      <c r="AA202" s="899"/>
      <c r="AB202" s="775"/>
      <c r="AC202" s="775"/>
      <c r="AD202" s="775"/>
      <c r="AE202" s="775"/>
      <c r="AF202" s="775"/>
      <c r="AG202" s="775"/>
      <c r="AH202" s="775"/>
      <c r="AI202" s="775"/>
      <c r="AJ202" s="775"/>
      <c r="AK202" s="775"/>
      <c r="AL202" s="775"/>
      <c r="AM202" s="775"/>
      <c r="AN202" s="775"/>
      <c r="AO202" s="775"/>
      <c r="AP202" s="775"/>
    </row>
    <row r="203" spans="1:42" s="141" customFormat="1" ht="15" customHeight="1">
      <c r="A203" s="868"/>
      <c r="B203" s="868"/>
      <c r="C203" s="867"/>
      <c r="D203" s="868"/>
      <c r="E203" s="868"/>
      <c r="F203" s="890"/>
      <c r="G203" s="875"/>
      <c r="H203" s="870"/>
      <c r="I203" s="775" t="s">
        <v>739</v>
      </c>
      <c r="J203" s="658">
        <f>VLOOKUP($I203,Prices!A:B,2,0)</f>
        <v>1</v>
      </c>
      <c r="K203" s="790">
        <f>VLOOKUP(I203,Prices!A:C,3,0)</f>
        <v>0</v>
      </c>
      <c r="L203" s="788">
        <v>100</v>
      </c>
      <c r="M203" s="788">
        <v>100</v>
      </c>
      <c r="N203" s="647">
        <f>VLOOKUP($I203,Prices!A:D,4,0)</f>
        <v>100</v>
      </c>
      <c r="O203" s="772">
        <f t="shared" si="19"/>
        <v>10000</v>
      </c>
      <c r="P203" s="793">
        <f t="shared" si="14"/>
        <v>10000</v>
      </c>
      <c r="Q203" s="869"/>
      <c r="R203" s="869"/>
      <c r="S203" s="886"/>
      <c r="T203" s="870"/>
      <c r="U203" s="854"/>
      <c r="V203" s="854"/>
      <c r="W203" s="854"/>
      <c r="X203" s="896"/>
      <c r="Y203" s="878"/>
      <c r="Z203" s="870"/>
      <c r="AA203" s="899"/>
      <c r="AB203" s="775"/>
      <c r="AC203" s="775"/>
      <c r="AD203" s="775"/>
      <c r="AE203" s="775"/>
      <c r="AF203" s="775"/>
      <c r="AG203" s="775"/>
      <c r="AH203" s="775"/>
      <c r="AI203" s="775"/>
      <c r="AJ203" s="775"/>
      <c r="AK203" s="775"/>
      <c r="AL203" s="775"/>
      <c r="AM203" s="775"/>
      <c r="AN203" s="775"/>
      <c r="AO203" s="775"/>
      <c r="AP203" s="775"/>
    </row>
    <row r="204" spans="1:42" s="141" customFormat="1" ht="18.75" customHeight="1">
      <c r="A204" s="868"/>
      <c r="B204" s="868"/>
      <c r="C204" s="867">
        <v>44620</v>
      </c>
      <c r="D204" s="868"/>
      <c r="E204" s="868"/>
      <c r="F204" s="890"/>
      <c r="G204" s="875"/>
      <c r="H204" s="870"/>
      <c r="I204" s="775" t="s">
        <v>531</v>
      </c>
      <c r="J204" s="658">
        <f>VLOOKUP($I204,Prices!A:B,2,0)</f>
        <v>2</v>
      </c>
      <c r="K204" s="790">
        <f>VLOOKUP(I204,Prices!A:C,3,0)</f>
        <v>0</v>
      </c>
      <c r="L204" s="788">
        <v>2500</v>
      </c>
      <c r="M204" s="788">
        <v>2500</v>
      </c>
      <c r="N204" s="708">
        <f>VLOOKUP($I204,Prices!A:D,4,0)</f>
        <v>1500</v>
      </c>
      <c r="O204" s="772">
        <f t="shared" si="19"/>
        <v>3750000</v>
      </c>
      <c r="P204" s="793">
        <f t="shared" si="14"/>
        <v>3750000</v>
      </c>
      <c r="Q204" s="869"/>
      <c r="R204" s="869"/>
      <c r="S204" s="886"/>
      <c r="T204" s="870" t="s">
        <v>195</v>
      </c>
      <c r="U204" s="854"/>
      <c r="V204" s="854" t="s">
        <v>740</v>
      </c>
      <c r="W204" s="854" t="s">
        <v>741</v>
      </c>
      <c r="X204" s="896" t="s">
        <v>194</v>
      </c>
      <c r="Y204" s="878"/>
      <c r="Z204" s="870"/>
      <c r="AA204" s="899" t="s">
        <v>742</v>
      </c>
      <c r="AB204" s="775"/>
      <c r="AC204" s="775"/>
      <c r="AD204" s="775"/>
      <c r="AE204" s="775"/>
      <c r="AF204" s="775"/>
      <c r="AG204" s="775"/>
      <c r="AH204" s="775"/>
      <c r="AI204" s="775"/>
      <c r="AJ204" s="775"/>
      <c r="AK204" s="775"/>
      <c r="AL204" s="775"/>
      <c r="AM204" s="775"/>
      <c r="AN204" s="775"/>
      <c r="AO204" s="775"/>
      <c r="AP204" s="775"/>
    </row>
    <row r="205" spans="1:42" s="141" customFormat="1" ht="20.25" customHeight="1">
      <c r="A205" s="868"/>
      <c r="B205" s="868"/>
      <c r="C205" s="867"/>
      <c r="D205" s="868"/>
      <c r="E205" s="868"/>
      <c r="F205" s="890"/>
      <c r="G205" s="875"/>
      <c r="H205" s="870"/>
      <c r="I205" s="775" t="s">
        <v>743</v>
      </c>
      <c r="J205" s="658">
        <f>VLOOKUP($I205,Prices!A:B,2,0)</f>
        <v>2.5</v>
      </c>
      <c r="K205" s="790">
        <f>VLOOKUP(I205,Prices!A:C,3,0)</f>
        <v>0</v>
      </c>
      <c r="L205" s="788">
        <v>150000</v>
      </c>
      <c r="M205" s="788">
        <v>150000</v>
      </c>
      <c r="N205" s="647">
        <f>VLOOKUP($I205,Prices!A:D,4,0)</f>
        <v>0.4</v>
      </c>
      <c r="O205" s="772">
        <f t="shared" si="19"/>
        <v>60000</v>
      </c>
      <c r="P205" s="793">
        <f t="shared" ref="P205:P268" si="20">$M205*$N205</f>
        <v>60000</v>
      </c>
      <c r="Q205" s="869"/>
      <c r="R205" s="869"/>
      <c r="S205" s="886"/>
      <c r="T205" s="870"/>
      <c r="U205" s="854"/>
      <c r="V205" s="854"/>
      <c r="W205" s="854"/>
      <c r="X205" s="896"/>
      <c r="Y205" s="878"/>
      <c r="Z205" s="870"/>
      <c r="AA205" s="899"/>
      <c r="AB205" s="775"/>
      <c r="AC205" s="775"/>
      <c r="AD205" s="775"/>
      <c r="AE205" s="775"/>
      <c r="AF205" s="775"/>
      <c r="AG205" s="775"/>
      <c r="AH205" s="775"/>
      <c r="AI205" s="775"/>
      <c r="AJ205" s="775"/>
      <c r="AK205" s="775"/>
      <c r="AL205" s="775"/>
      <c r="AM205" s="775"/>
      <c r="AN205" s="775"/>
      <c r="AO205" s="775"/>
      <c r="AP205" s="775"/>
    </row>
    <row r="206" spans="1:42" s="141" customFormat="1" ht="15.75" customHeight="1">
      <c r="A206" s="868"/>
      <c r="B206" s="868"/>
      <c r="C206" s="867"/>
      <c r="D206" s="868"/>
      <c r="E206" s="868"/>
      <c r="F206" s="890"/>
      <c r="G206" s="875"/>
      <c r="H206" s="870"/>
      <c r="I206" s="775" t="s">
        <v>744</v>
      </c>
      <c r="J206" s="658">
        <f>VLOOKUP($I206,Prices!A:B,2,0)</f>
        <v>3</v>
      </c>
      <c r="K206" s="790">
        <f>VLOOKUP(I206,Prices!A:C,3,0)</f>
        <v>0</v>
      </c>
      <c r="L206" s="788">
        <v>1500</v>
      </c>
      <c r="M206" s="788">
        <v>1500</v>
      </c>
      <c r="N206" s="708">
        <f>VLOOKUP($I206,Prices!A:D,4,0)</f>
        <v>2000</v>
      </c>
      <c r="O206" s="772">
        <f t="shared" si="19"/>
        <v>3000000</v>
      </c>
      <c r="P206" s="793">
        <f t="shared" si="20"/>
        <v>3000000</v>
      </c>
      <c r="Q206" s="869"/>
      <c r="R206" s="869"/>
      <c r="S206" s="886"/>
      <c r="T206" s="870"/>
      <c r="U206" s="854"/>
      <c r="V206" s="854"/>
      <c r="W206" s="854"/>
      <c r="X206" s="896"/>
      <c r="Y206" s="878"/>
      <c r="Z206" s="870"/>
      <c r="AA206" s="899"/>
      <c r="AB206" s="775"/>
      <c r="AC206" s="775"/>
      <c r="AD206" s="775"/>
      <c r="AE206" s="775"/>
      <c r="AF206" s="775"/>
      <c r="AG206" s="775"/>
      <c r="AH206" s="775"/>
      <c r="AI206" s="775"/>
      <c r="AJ206" s="775"/>
      <c r="AK206" s="775"/>
      <c r="AL206" s="775"/>
      <c r="AM206" s="775"/>
      <c r="AN206" s="775"/>
      <c r="AO206" s="775"/>
      <c r="AP206" s="775"/>
    </row>
    <row r="207" spans="1:42" s="141" customFormat="1" ht="18.75" customHeight="1">
      <c r="A207" s="868"/>
      <c r="B207" s="868"/>
      <c r="C207" s="867"/>
      <c r="D207" s="868"/>
      <c r="E207" s="868"/>
      <c r="F207" s="890"/>
      <c r="G207" s="875"/>
      <c r="H207" s="870"/>
      <c r="I207" s="775" t="s">
        <v>745</v>
      </c>
      <c r="J207" s="658">
        <f>VLOOKUP($I207,Prices!A:B,2,0)</f>
        <v>1</v>
      </c>
      <c r="K207" s="790">
        <f>VLOOKUP(I207,Prices!A:C,3,0)</f>
        <v>0</v>
      </c>
      <c r="L207" s="788">
        <v>70000</v>
      </c>
      <c r="M207" s="788">
        <v>70000</v>
      </c>
      <c r="N207" s="647">
        <f>VLOOKUP($I207,Prices!A:D,4,0)</f>
        <v>8</v>
      </c>
      <c r="O207" s="772">
        <f t="shared" si="19"/>
        <v>560000</v>
      </c>
      <c r="P207" s="793">
        <f t="shared" si="20"/>
        <v>560000</v>
      </c>
      <c r="Q207" s="869"/>
      <c r="R207" s="869"/>
      <c r="S207" s="886"/>
      <c r="T207" s="870"/>
      <c r="U207" s="854"/>
      <c r="V207" s="854"/>
      <c r="W207" s="854"/>
      <c r="X207" s="896"/>
      <c r="Y207" s="878"/>
      <c r="Z207" s="870"/>
      <c r="AA207" s="899"/>
      <c r="AB207" s="775"/>
      <c r="AC207" s="775"/>
      <c r="AD207" s="775"/>
      <c r="AE207" s="775"/>
      <c r="AF207" s="775"/>
      <c r="AG207" s="775"/>
      <c r="AH207" s="775"/>
      <c r="AI207" s="775"/>
      <c r="AJ207" s="775"/>
      <c r="AK207" s="775"/>
      <c r="AL207" s="775"/>
      <c r="AM207" s="775"/>
      <c r="AN207" s="775"/>
      <c r="AO207" s="775"/>
      <c r="AP207" s="775"/>
    </row>
    <row r="208" spans="1:42" s="141" customFormat="1" ht="24.75" customHeight="1">
      <c r="A208" s="868"/>
      <c r="B208" s="868"/>
      <c r="C208" s="780">
        <v>44644</v>
      </c>
      <c r="D208" s="868"/>
      <c r="E208" s="868"/>
      <c r="F208" s="890"/>
      <c r="G208" s="875"/>
      <c r="H208" s="870"/>
      <c r="I208" s="767" t="s">
        <v>194</v>
      </c>
      <c r="J208" s="658" t="str">
        <f>VLOOKUP($I208,Prices!A:B,2,0)</f>
        <v>.</v>
      </c>
      <c r="K208" s="790" t="s">
        <v>194</v>
      </c>
      <c r="L208" s="788" t="s">
        <v>194</v>
      </c>
      <c r="M208" s="788" t="s">
        <v>194</v>
      </c>
      <c r="N208" s="708" t="str">
        <f>VLOOKUP($I208,Prices!A:D,4,0)</f>
        <v>.</v>
      </c>
      <c r="O208" s="772" t="s">
        <v>194</v>
      </c>
      <c r="P208" s="793" t="s">
        <v>194</v>
      </c>
      <c r="Q208" s="869"/>
      <c r="R208" s="869"/>
      <c r="S208" s="886"/>
      <c r="T208" s="757" t="s">
        <v>195</v>
      </c>
      <c r="U208" s="854"/>
      <c r="V208" s="756" t="s">
        <v>746</v>
      </c>
      <c r="W208" s="756" t="s">
        <v>747</v>
      </c>
      <c r="X208" s="896" t="s">
        <v>194</v>
      </c>
      <c r="Y208" s="878"/>
      <c r="Z208" s="870"/>
      <c r="AA208" s="799" t="s">
        <v>194</v>
      </c>
      <c r="AB208" s="775"/>
      <c r="AC208" s="775"/>
      <c r="AD208" s="775"/>
      <c r="AE208" s="775"/>
      <c r="AF208" s="775"/>
      <c r="AG208" s="775"/>
      <c r="AH208" s="775"/>
      <c r="AI208" s="775"/>
      <c r="AJ208" s="775"/>
      <c r="AK208" s="775"/>
      <c r="AL208" s="775"/>
      <c r="AM208" s="775"/>
      <c r="AN208" s="775"/>
      <c r="AO208" s="775"/>
      <c r="AP208" s="775"/>
    </row>
    <row r="209" spans="1:42" s="661" customFormat="1" ht="61.5" customHeight="1">
      <c r="A209" s="868"/>
      <c r="B209" s="868"/>
      <c r="C209" s="780">
        <v>44670</v>
      </c>
      <c r="D209" s="868"/>
      <c r="E209" s="868"/>
      <c r="F209" s="890"/>
      <c r="G209" s="875"/>
      <c r="H209" s="870"/>
      <c r="I209" s="775" t="s">
        <v>194</v>
      </c>
      <c r="J209" s="658" t="str">
        <f>VLOOKUP($I209,Prices!A:B,2,0)</f>
        <v>.</v>
      </c>
      <c r="K209" s="790" t="s">
        <v>194</v>
      </c>
      <c r="L209" s="788" t="s">
        <v>194</v>
      </c>
      <c r="M209" s="788" t="s">
        <v>194</v>
      </c>
      <c r="N209" s="647" t="str">
        <f>VLOOKUP($I209,Prices!A:D,4,0)</f>
        <v>.</v>
      </c>
      <c r="O209" s="772" t="s">
        <v>194</v>
      </c>
      <c r="P209" s="793" t="s">
        <v>194</v>
      </c>
      <c r="Q209" s="869"/>
      <c r="R209" s="869"/>
      <c r="S209" s="886"/>
      <c r="T209" s="757" t="s">
        <v>195</v>
      </c>
      <c r="U209" s="854"/>
      <c r="V209" s="756" t="s">
        <v>748</v>
      </c>
      <c r="W209" s="756" t="s">
        <v>749</v>
      </c>
      <c r="X209" s="896"/>
      <c r="Y209" s="878"/>
      <c r="Z209" s="870"/>
      <c r="AA209" s="799" t="s">
        <v>194</v>
      </c>
    </row>
    <row r="210" spans="1:42" s="661" customFormat="1" ht="66" customHeight="1">
      <c r="A210" s="775" t="s">
        <v>750</v>
      </c>
      <c r="B210" s="775" t="s">
        <v>701</v>
      </c>
      <c r="C210" s="780">
        <v>44686</v>
      </c>
      <c r="D210" s="775" t="s">
        <v>212</v>
      </c>
      <c r="E210" s="775" t="s">
        <v>213</v>
      </c>
      <c r="F210" s="773" t="s">
        <v>751</v>
      </c>
      <c r="G210" s="777"/>
      <c r="H210" s="757" t="s">
        <v>194</v>
      </c>
      <c r="I210" s="775" t="s">
        <v>194</v>
      </c>
      <c r="J210" s="658" t="str">
        <f>VLOOKUP($I210,Prices!A:B,2,0)</f>
        <v>.</v>
      </c>
      <c r="K210" s="790" t="s">
        <v>194</v>
      </c>
      <c r="L210" s="788" t="s">
        <v>194</v>
      </c>
      <c r="M210" s="788" t="s">
        <v>194</v>
      </c>
      <c r="N210" s="708" t="str">
        <f>VLOOKUP($I210,Prices!A:D,4,0)</f>
        <v>.</v>
      </c>
      <c r="O210" s="772" t="s">
        <v>194</v>
      </c>
      <c r="P210" s="793" t="s">
        <v>194</v>
      </c>
      <c r="Q210" s="772" t="s">
        <v>194</v>
      </c>
      <c r="R210" s="772" t="s">
        <v>194</v>
      </c>
      <c r="S210" s="749" t="s">
        <v>194</v>
      </c>
      <c r="T210" s="757" t="s">
        <v>240</v>
      </c>
      <c r="U210" s="756" t="s">
        <v>312</v>
      </c>
      <c r="V210" s="756" t="s">
        <v>752</v>
      </c>
      <c r="W210" s="756" t="s">
        <v>753</v>
      </c>
      <c r="X210" s="771" t="s">
        <v>194</v>
      </c>
      <c r="Y210" s="759">
        <v>0</v>
      </c>
      <c r="Z210" s="757">
        <v>0</v>
      </c>
      <c r="AA210" s="799" t="s">
        <v>194</v>
      </c>
    </row>
    <row r="211" spans="1:42" s="661" customFormat="1" ht="66" customHeight="1">
      <c r="A211" s="775" t="s">
        <v>754</v>
      </c>
      <c r="B211" s="775" t="s">
        <v>701</v>
      </c>
      <c r="C211" s="780">
        <v>44722</v>
      </c>
      <c r="D211" s="775" t="s">
        <v>212</v>
      </c>
      <c r="E211" s="775" t="s">
        <v>213</v>
      </c>
      <c r="F211" s="773" t="s">
        <v>755</v>
      </c>
      <c r="G211" s="777"/>
      <c r="H211" s="757" t="s">
        <v>194</v>
      </c>
      <c r="I211" s="775" t="s">
        <v>194</v>
      </c>
      <c r="J211" s="658" t="str">
        <f>VLOOKUP($I211,Prices!A:B,2,0)</f>
        <v>.</v>
      </c>
      <c r="K211" s="790" t="s">
        <v>194</v>
      </c>
      <c r="L211" s="788" t="s">
        <v>194</v>
      </c>
      <c r="M211" s="788" t="s">
        <v>194</v>
      </c>
      <c r="N211" s="708" t="s">
        <v>194</v>
      </c>
      <c r="O211" s="772" t="s">
        <v>194</v>
      </c>
      <c r="P211" s="793" t="s">
        <v>194</v>
      </c>
      <c r="Q211" s="772" t="s">
        <v>194</v>
      </c>
      <c r="R211" s="772" t="s">
        <v>194</v>
      </c>
      <c r="S211" s="749" t="s">
        <v>194</v>
      </c>
      <c r="T211" s="757" t="s">
        <v>240</v>
      </c>
      <c r="U211" s="756" t="s">
        <v>756</v>
      </c>
      <c r="V211" s="756" t="s">
        <v>194</v>
      </c>
      <c r="W211" s="756" t="s">
        <v>194</v>
      </c>
      <c r="X211" s="771" t="s">
        <v>194</v>
      </c>
      <c r="Y211" s="759">
        <v>0</v>
      </c>
      <c r="Z211" s="757">
        <v>1</v>
      </c>
      <c r="AA211" s="799" t="s">
        <v>194</v>
      </c>
    </row>
    <row r="212" spans="1:42" s="661" customFormat="1" ht="66" customHeight="1">
      <c r="A212" s="775" t="s">
        <v>757</v>
      </c>
      <c r="B212" s="775" t="s">
        <v>701</v>
      </c>
      <c r="C212" s="780">
        <v>44679</v>
      </c>
      <c r="D212" s="775" t="s">
        <v>292</v>
      </c>
      <c r="E212" s="775" t="s">
        <v>276</v>
      </c>
      <c r="F212" s="773" t="s">
        <v>758</v>
      </c>
      <c r="G212" s="777">
        <v>75000000</v>
      </c>
      <c r="H212" s="757" t="s">
        <v>278</v>
      </c>
      <c r="I212" s="775" t="s">
        <v>194</v>
      </c>
      <c r="J212" s="658" t="str">
        <f>VLOOKUP($I212,Prices!A:B,2,0)</f>
        <v>.</v>
      </c>
      <c r="K212" s="790" t="s">
        <v>194</v>
      </c>
      <c r="L212" s="788" t="s">
        <v>194</v>
      </c>
      <c r="M212" s="788" t="s">
        <v>194</v>
      </c>
      <c r="N212" s="647" t="str">
        <f>VLOOKUP($I212,Prices!A:D,4,0)</f>
        <v>.</v>
      </c>
      <c r="O212" s="772" t="s">
        <v>194</v>
      </c>
      <c r="P212" s="793" t="s">
        <v>194</v>
      </c>
      <c r="Q212" s="772">
        <f>G212</f>
        <v>75000000</v>
      </c>
      <c r="R212" s="772">
        <f>Q212/VLOOKUP(H212, 'Currency Conversion'!B:C, 2, 0)</f>
        <v>75000000</v>
      </c>
      <c r="S212" s="749" t="s">
        <v>194</v>
      </c>
      <c r="T212" s="757" t="s">
        <v>240</v>
      </c>
      <c r="U212" s="756" t="s">
        <v>759</v>
      </c>
      <c r="V212" s="756" t="s">
        <v>760</v>
      </c>
      <c r="W212" s="756" t="s">
        <v>761</v>
      </c>
      <c r="X212" s="771" t="s">
        <v>194</v>
      </c>
      <c r="Y212" s="759">
        <v>0</v>
      </c>
      <c r="Z212" s="757">
        <v>0</v>
      </c>
      <c r="AA212" s="799" t="s">
        <v>194</v>
      </c>
    </row>
    <row r="213" spans="1:42" ht="20.100000000000001" customHeight="1">
      <c r="A213" s="879" t="s">
        <v>762</v>
      </c>
      <c r="B213" s="879" t="s">
        <v>763</v>
      </c>
      <c r="C213" s="906">
        <v>44621</v>
      </c>
      <c r="D213" s="879" t="s">
        <v>190</v>
      </c>
      <c r="E213" s="879" t="s">
        <v>375</v>
      </c>
      <c r="F213" s="884" t="s">
        <v>764</v>
      </c>
      <c r="G213" s="877">
        <v>100000000</v>
      </c>
      <c r="H213" s="888" t="s">
        <v>278</v>
      </c>
      <c r="I213" s="767" t="s">
        <v>765</v>
      </c>
      <c r="J213" s="658">
        <f>VLOOKUP($I213,Prices!A:B,2,0)</f>
        <v>0</v>
      </c>
      <c r="K213" s="790">
        <f>VLOOKUP(I213,Prices!A:C,3,0)</f>
        <v>0</v>
      </c>
      <c r="L213" s="651">
        <v>500</v>
      </c>
      <c r="M213" s="651" t="s">
        <v>194</v>
      </c>
      <c r="N213" s="708">
        <f>VLOOKUP($I213,Prices!A:D,4,0)</f>
        <v>150</v>
      </c>
      <c r="O213" s="772">
        <f t="shared" si="19"/>
        <v>75000</v>
      </c>
      <c r="P213" s="793" t="s">
        <v>194</v>
      </c>
      <c r="Q213" s="877">
        <f>G213</f>
        <v>100000000</v>
      </c>
      <c r="R213" s="877">
        <f>Q213/VLOOKUP(H213, 'Currency Conversion'!B:C, 2, 0)</f>
        <v>100000000</v>
      </c>
      <c r="S213" s="891" t="s">
        <v>194</v>
      </c>
      <c r="T213" s="888" t="s">
        <v>195</v>
      </c>
      <c r="U213" s="854" t="s">
        <v>766</v>
      </c>
      <c r="V213" s="854" t="s">
        <v>767</v>
      </c>
      <c r="W213" s="854" t="s">
        <v>768</v>
      </c>
      <c r="X213" s="896" t="s">
        <v>194</v>
      </c>
      <c r="Y213" s="878">
        <v>0</v>
      </c>
      <c r="Z213" s="888">
        <v>0</v>
      </c>
      <c r="AA213" s="893" t="s">
        <v>194</v>
      </c>
      <c r="AB213" s="767"/>
      <c r="AC213" s="767"/>
      <c r="AD213" s="767"/>
      <c r="AE213" s="767"/>
      <c r="AF213" s="767"/>
      <c r="AG213" s="767"/>
      <c r="AH213" s="767"/>
      <c r="AI213" s="767"/>
      <c r="AJ213" s="767"/>
      <c r="AK213" s="767"/>
      <c r="AL213" s="767"/>
      <c r="AM213" s="767"/>
      <c r="AN213" s="767"/>
      <c r="AO213" s="767"/>
      <c r="AP213" s="767"/>
    </row>
    <row r="214" spans="1:42" ht="21.75" customHeight="1">
      <c r="A214" s="879"/>
      <c r="B214" s="879"/>
      <c r="C214" s="906"/>
      <c r="D214" s="879"/>
      <c r="E214" s="879"/>
      <c r="F214" s="884"/>
      <c r="G214" s="877"/>
      <c r="H214" s="888"/>
      <c r="I214" s="767" t="s">
        <v>769</v>
      </c>
      <c r="J214" s="658">
        <f>VLOOKUP($I214,Prices!A:B,2,0)</f>
        <v>0</v>
      </c>
      <c r="K214" s="790">
        <f>VLOOKUP(I214,Prices!A:C,3,0)</f>
        <v>0</v>
      </c>
      <c r="L214" s="651">
        <v>2300</v>
      </c>
      <c r="M214" s="651" t="s">
        <v>194</v>
      </c>
      <c r="N214" s="647">
        <f>VLOOKUP($I214,Prices!A:D,4,0)</f>
        <v>43</v>
      </c>
      <c r="O214" s="772">
        <f t="shared" si="19"/>
        <v>98900</v>
      </c>
      <c r="P214" s="793" t="s">
        <v>194</v>
      </c>
      <c r="Q214" s="877"/>
      <c r="R214" s="877"/>
      <c r="S214" s="891"/>
      <c r="T214" s="888"/>
      <c r="U214" s="854"/>
      <c r="V214" s="854"/>
      <c r="W214" s="854"/>
      <c r="X214" s="896"/>
      <c r="Y214" s="878"/>
      <c r="Z214" s="888"/>
      <c r="AA214" s="893"/>
      <c r="AB214" s="767"/>
      <c r="AC214" s="767"/>
      <c r="AD214" s="767"/>
      <c r="AE214" s="767"/>
      <c r="AF214" s="767"/>
      <c r="AG214" s="767"/>
      <c r="AH214" s="767"/>
      <c r="AI214" s="767"/>
      <c r="AJ214" s="767"/>
      <c r="AK214" s="767"/>
      <c r="AL214" s="767"/>
      <c r="AM214" s="767"/>
      <c r="AN214" s="767"/>
      <c r="AO214" s="767"/>
      <c r="AP214" s="767"/>
    </row>
    <row r="215" spans="1:42" ht="19.5" customHeight="1">
      <c r="A215" s="879"/>
      <c r="B215" s="879"/>
      <c r="C215" s="906"/>
      <c r="D215" s="879"/>
      <c r="E215" s="879"/>
      <c r="F215" s="884"/>
      <c r="G215" s="877"/>
      <c r="H215" s="888"/>
      <c r="I215" s="767" t="s">
        <v>647</v>
      </c>
      <c r="J215" s="658">
        <f>VLOOKUP($I215,Prices!A:B,2,0)</f>
        <v>1</v>
      </c>
      <c r="K215" s="790">
        <f>VLOOKUP(I215,Prices!A:C,3,0)</f>
        <v>0</v>
      </c>
      <c r="L215" s="651">
        <v>1000</v>
      </c>
      <c r="M215" s="651" t="s">
        <v>194</v>
      </c>
      <c r="N215" s="708">
        <f>VLOOKUP($I215,Prices!A:D,4,0)</f>
        <v>3</v>
      </c>
      <c r="O215" s="772">
        <f t="shared" si="19"/>
        <v>3000</v>
      </c>
      <c r="P215" s="793" t="s">
        <v>194</v>
      </c>
      <c r="Q215" s="877"/>
      <c r="R215" s="877"/>
      <c r="S215" s="891"/>
      <c r="T215" s="888"/>
      <c r="U215" s="854"/>
      <c r="V215" s="854"/>
      <c r="W215" s="854"/>
      <c r="X215" s="896"/>
      <c r="Y215" s="878"/>
      <c r="Z215" s="888"/>
      <c r="AA215" s="893"/>
      <c r="AB215" s="767"/>
      <c r="AC215" s="767"/>
      <c r="AD215" s="767"/>
      <c r="AE215" s="767"/>
      <c r="AF215" s="767"/>
      <c r="AG215" s="767"/>
      <c r="AH215" s="767"/>
      <c r="AI215" s="767"/>
      <c r="AJ215" s="767"/>
      <c r="AK215" s="767"/>
      <c r="AL215" s="767"/>
      <c r="AM215" s="767"/>
      <c r="AN215" s="767"/>
      <c r="AO215" s="767"/>
      <c r="AP215" s="767"/>
    </row>
    <row r="216" spans="1:42" ht="21.75" customHeight="1">
      <c r="A216" s="879"/>
      <c r="B216" s="879"/>
      <c r="C216" s="906"/>
      <c r="D216" s="879"/>
      <c r="E216" s="879"/>
      <c r="F216" s="884"/>
      <c r="G216" s="877"/>
      <c r="H216" s="888"/>
      <c r="I216" s="767" t="s">
        <v>770</v>
      </c>
      <c r="J216" s="658">
        <f>VLOOKUP($I216,Prices!A:B,2,0)</f>
        <v>0</v>
      </c>
      <c r="K216" s="790">
        <f>VLOOKUP(I216,Prices!A:C,3,0)</f>
        <v>0</v>
      </c>
      <c r="L216" s="651">
        <v>2000</v>
      </c>
      <c r="M216" s="651" t="s">
        <v>194</v>
      </c>
      <c r="N216" s="647">
        <f>VLOOKUP($I216,Prices!A:D,4,0)</f>
        <v>259.64928000000003</v>
      </c>
      <c r="O216" s="772">
        <f t="shared" si="19"/>
        <v>519298.56000000006</v>
      </c>
      <c r="P216" s="793" t="s">
        <v>194</v>
      </c>
      <c r="Q216" s="877"/>
      <c r="R216" s="877"/>
      <c r="S216" s="891"/>
      <c r="T216" s="888"/>
      <c r="U216" s="854"/>
      <c r="V216" s="854"/>
      <c r="W216" s="854"/>
      <c r="X216" s="896"/>
      <c r="Y216" s="878"/>
      <c r="Z216" s="888"/>
      <c r="AA216" s="893"/>
      <c r="AB216" s="767"/>
      <c r="AC216" s="767"/>
      <c r="AD216" s="767"/>
      <c r="AE216" s="767"/>
      <c r="AF216" s="767"/>
      <c r="AG216" s="767"/>
      <c r="AH216" s="767"/>
      <c r="AI216" s="767"/>
      <c r="AJ216" s="767"/>
      <c r="AK216" s="767"/>
      <c r="AL216" s="767"/>
      <c r="AM216" s="767"/>
      <c r="AN216" s="767"/>
      <c r="AO216" s="767"/>
      <c r="AP216" s="767"/>
    </row>
    <row r="217" spans="1:42" ht="18" customHeight="1">
      <c r="A217" s="879"/>
      <c r="B217" s="879"/>
      <c r="C217" s="906"/>
      <c r="D217" s="879"/>
      <c r="E217" s="879"/>
      <c r="F217" s="884"/>
      <c r="G217" s="877"/>
      <c r="H217" s="888"/>
      <c r="I217" s="767" t="s">
        <v>268</v>
      </c>
      <c r="J217" s="658">
        <f>VLOOKUP($I217,Prices!A:B,2,0)</f>
        <v>0</v>
      </c>
      <c r="K217" s="790">
        <f>VLOOKUP(I217,Prices!A:C,3,0)</f>
        <v>0</v>
      </c>
      <c r="L217" s="651">
        <v>300</v>
      </c>
      <c r="M217" s="651" t="s">
        <v>194</v>
      </c>
      <c r="N217" s="708">
        <f>VLOOKUP($I217,Prices!A:D,4,0)</f>
        <v>75</v>
      </c>
      <c r="O217" s="772">
        <f t="shared" si="19"/>
        <v>22500</v>
      </c>
      <c r="P217" s="793" t="s">
        <v>194</v>
      </c>
      <c r="Q217" s="877"/>
      <c r="R217" s="877"/>
      <c r="S217" s="891"/>
      <c r="T217" s="888"/>
      <c r="U217" s="854"/>
      <c r="V217" s="854"/>
      <c r="W217" s="854"/>
      <c r="X217" s="896"/>
      <c r="Y217" s="878"/>
      <c r="Z217" s="888"/>
      <c r="AA217" s="893"/>
      <c r="AB217" s="767"/>
      <c r="AC217" s="767"/>
      <c r="AD217" s="767"/>
      <c r="AE217" s="767"/>
      <c r="AF217" s="767"/>
      <c r="AG217" s="767"/>
      <c r="AH217" s="767"/>
      <c r="AI217" s="767"/>
      <c r="AJ217" s="767"/>
      <c r="AK217" s="767"/>
      <c r="AL217" s="767"/>
      <c r="AM217" s="767"/>
      <c r="AN217" s="767"/>
      <c r="AO217" s="767"/>
      <c r="AP217" s="767"/>
    </row>
    <row r="218" spans="1:42" ht="20.25" customHeight="1">
      <c r="A218" s="879"/>
      <c r="B218" s="879"/>
      <c r="C218" s="906"/>
      <c r="D218" s="879"/>
      <c r="E218" s="879"/>
      <c r="F218" s="884"/>
      <c r="G218" s="877"/>
      <c r="H218" s="888"/>
      <c r="I218" s="767" t="s">
        <v>495</v>
      </c>
      <c r="J218" s="658">
        <f>VLOOKUP($I218,Prices!A:B,2,0)</f>
        <v>0</v>
      </c>
      <c r="K218" s="790">
        <f>VLOOKUP(I218,Prices!A:C,3,0)</f>
        <v>0</v>
      </c>
      <c r="L218" s="651">
        <v>8</v>
      </c>
      <c r="M218" s="651" t="s">
        <v>194</v>
      </c>
      <c r="N218" s="647">
        <f>VLOOKUP($I218,Prices!A:D,4,0)</f>
        <v>10000</v>
      </c>
      <c r="O218" s="772">
        <f t="shared" si="19"/>
        <v>80000</v>
      </c>
      <c r="P218" s="793" t="s">
        <v>194</v>
      </c>
      <c r="Q218" s="877"/>
      <c r="R218" s="877"/>
      <c r="S218" s="891"/>
      <c r="T218" s="888"/>
      <c r="U218" s="854"/>
      <c r="V218" s="854"/>
      <c r="W218" s="854"/>
      <c r="X218" s="896"/>
      <c r="Y218" s="878"/>
      <c r="Z218" s="888"/>
      <c r="AA218" s="893"/>
      <c r="AB218" s="767"/>
      <c r="AC218" s="767"/>
      <c r="AD218" s="767"/>
      <c r="AE218" s="767"/>
      <c r="AF218" s="767"/>
      <c r="AG218" s="767"/>
      <c r="AH218" s="767"/>
      <c r="AI218" s="767"/>
      <c r="AJ218" s="767"/>
      <c r="AK218" s="767"/>
      <c r="AL218" s="767"/>
      <c r="AM218" s="767"/>
      <c r="AN218" s="767"/>
      <c r="AO218" s="767"/>
      <c r="AP218" s="767"/>
    </row>
    <row r="219" spans="1:42" ht="81.75" customHeight="1">
      <c r="A219" s="767" t="s">
        <v>771</v>
      </c>
      <c r="B219" s="767" t="s">
        <v>763</v>
      </c>
      <c r="C219" s="767" t="s">
        <v>553</v>
      </c>
      <c r="D219" s="767" t="s">
        <v>190</v>
      </c>
      <c r="E219" s="767" t="s">
        <v>375</v>
      </c>
      <c r="F219" s="787" t="s">
        <v>772</v>
      </c>
      <c r="G219" s="770">
        <v>1600000</v>
      </c>
      <c r="H219" s="761" t="s">
        <v>278</v>
      </c>
      <c r="I219" s="767" t="s">
        <v>194</v>
      </c>
      <c r="J219" s="658" t="str">
        <f>VLOOKUP($I219,Prices!A:B,2,0)</f>
        <v>.</v>
      </c>
      <c r="K219" s="790" t="s">
        <v>194</v>
      </c>
      <c r="L219" s="651" t="s">
        <v>194</v>
      </c>
      <c r="M219" s="651" t="s">
        <v>194</v>
      </c>
      <c r="N219" s="708" t="str">
        <f>VLOOKUP($I219,Prices!A:D,4,0)</f>
        <v>.</v>
      </c>
      <c r="O219" s="772" t="s">
        <v>194</v>
      </c>
      <c r="P219" s="793" t="s">
        <v>194</v>
      </c>
      <c r="Q219" s="769">
        <f>G219</f>
        <v>1600000</v>
      </c>
      <c r="R219" s="769">
        <f>Q219/VLOOKUP(H219, 'Currency Conversion'!B:C, 2, 0)</f>
        <v>1600000</v>
      </c>
      <c r="S219" s="763" t="s">
        <v>194</v>
      </c>
      <c r="T219" s="761" t="s">
        <v>195</v>
      </c>
      <c r="U219" s="756" t="s">
        <v>773</v>
      </c>
      <c r="V219" s="787" t="s">
        <v>194</v>
      </c>
      <c r="W219" s="787" t="s">
        <v>194</v>
      </c>
      <c r="X219" s="771" t="s">
        <v>194</v>
      </c>
      <c r="Y219" s="759">
        <v>0</v>
      </c>
      <c r="Z219" s="761">
        <v>0</v>
      </c>
      <c r="AA219" s="802" t="s">
        <v>194</v>
      </c>
      <c r="AB219" s="767"/>
      <c r="AC219" s="767"/>
      <c r="AD219" s="767"/>
      <c r="AE219" s="767"/>
      <c r="AF219" s="767"/>
      <c r="AG219" s="767"/>
      <c r="AH219" s="767"/>
      <c r="AI219" s="767"/>
      <c r="AJ219" s="767"/>
      <c r="AK219" s="767"/>
      <c r="AL219" s="767"/>
      <c r="AM219" s="767"/>
      <c r="AN219" s="767"/>
      <c r="AO219" s="767"/>
      <c r="AP219" s="767"/>
    </row>
    <row r="220" spans="1:42" s="141" customFormat="1" ht="26.1" customHeight="1">
      <c r="A220" s="868" t="s">
        <v>774</v>
      </c>
      <c r="B220" s="868" t="s">
        <v>763</v>
      </c>
      <c r="C220" s="867">
        <v>44645</v>
      </c>
      <c r="D220" s="868" t="s">
        <v>190</v>
      </c>
      <c r="E220" s="868" t="s">
        <v>199</v>
      </c>
      <c r="F220" s="890" t="s">
        <v>775</v>
      </c>
      <c r="G220" s="875" t="s">
        <v>259</v>
      </c>
      <c r="H220" s="870" t="s">
        <v>260</v>
      </c>
      <c r="I220" s="775" t="s">
        <v>272</v>
      </c>
      <c r="J220" s="658">
        <f>VLOOKUP($I220,Prices!A:B,2,0)</f>
        <v>0</v>
      </c>
      <c r="K220" s="790">
        <f>VLOOKUP(I220,Prices!A:C,3,0)</f>
        <v>0</v>
      </c>
      <c r="L220" s="788">
        <v>21</v>
      </c>
      <c r="M220" s="788" t="s">
        <v>194</v>
      </c>
      <c r="N220" s="647">
        <f>VLOOKUP($I220,Prices!A:D,4,0)</f>
        <v>220000</v>
      </c>
      <c r="O220" s="772">
        <f t="shared" si="19"/>
        <v>4620000</v>
      </c>
      <c r="P220" s="793" t="s">
        <v>194</v>
      </c>
      <c r="Q220" s="869">
        <f>SUM(O220:O224)</f>
        <v>15910000</v>
      </c>
      <c r="R220" s="869">
        <f>Q220/VLOOKUP(H220, 'Currency Conversion'!B:C, 2, 0)</f>
        <v>15066287.878787879</v>
      </c>
      <c r="S220" s="886" t="s">
        <v>194</v>
      </c>
      <c r="T220" s="870" t="s">
        <v>240</v>
      </c>
      <c r="U220" s="854" t="s">
        <v>776</v>
      </c>
      <c r="V220" s="854" t="s">
        <v>777</v>
      </c>
      <c r="W220" s="890" t="s">
        <v>194</v>
      </c>
      <c r="X220" s="896" t="s">
        <v>194</v>
      </c>
      <c r="Y220" s="878">
        <v>0</v>
      </c>
      <c r="Z220" s="870">
        <v>0</v>
      </c>
      <c r="AA220" s="894" t="s">
        <v>194</v>
      </c>
      <c r="AB220" s="775"/>
      <c r="AC220" s="775"/>
      <c r="AD220" s="775"/>
      <c r="AE220" s="775"/>
      <c r="AF220" s="775"/>
      <c r="AG220" s="775"/>
      <c r="AH220" s="775"/>
      <c r="AI220" s="775"/>
      <c r="AJ220" s="775"/>
      <c r="AK220" s="775"/>
      <c r="AL220" s="775"/>
      <c r="AM220" s="775"/>
      <c r="AN220" s="775"/>
      <c r="AO220" s="775"/>
      <c r="AP220" s="775"/>
    </row>
    <row r="221" spans="1:42" s="141" customFormat="1" ht="23.1" customHeight="1">
      <c r="A221" s="868"/>
      <c r="B221" s="868"/>
      <c r="C221" s="867"/>
      <c r="D221" s="868"/>
      <c r="E221" s="868"/>
      <c r="F221" s="890"/>
      <c r="G221" s="875"/>
      <c r="H221" s="870"/>
      <c r="I221" s="775" t="s">
        <v>558</v>
      </c>
      <c r="J221" s="658">
        <f>VLOOKUP($I221,Prices!A:B,2,0)</f>
        <v>0</v>
      </c>
      <c r="K221" s="790">
        <f>VLOOKUP(I221,Prices!A:C,3,0)</f>
        <v>0</v>
      </c>
      <c r="L221" s="788">
        <v>11</v>
      </c>
      <c r="M221" s="788" t="s">
        <v>194</v>
      </c>
      <c r="N221" s="708">
        <f>VLOOKUP($I221,Prices!A:D,4,0)</f>
        <v>400000</v>
      </c>
      <c r="O221" s="772">
        <f t="shared" si="19"/>
        <v>4400000</v>
      </c>
      <c r="P221" s="793" t="s">
        <v>194</v>
      </c>
      <c r="Q221" s="869"/>
      <c r="R221" s="869"/>
      <c r="S221" s="886"/>
      <c r="T221" s="870"/>
      <c r="U221" s="854"/>
      <c r="V221" s="854"/>
      <c r="W221" s="890"/>
      <c r="X221" s="896"/>
      <c r="Y221" s="878"/>
      <c r="Z221" s="870"/>
      <c r="AA221" s="894"/>
      <c r="AB221" s="775"/>
      <c r="AC221" s="775"/>
      <c r="AD221" s="775"/>
      <c r="AE221" s="775"/>
      <c r="AF221" s="775"/>
      <c r="AG221" s="775"/>
      <c r="AH221" s="775"/>
      <c r="AI221" s="775"/>
      <c r="AJ221" s="775"/>
      <c r="AK221" s="775"/>
      <c r="AL221" s="775"/>
      <c r="AM221" s="775"/>
      <c r="AN221" s="775"/>
      <c r="AO221" s="775"/>
      <c r="AP221" s="775"/>
    </row>
    <row r="222" spans="1:42" s="141" customFormat="1" ht="20.100000000000001" customHeight="1">
      <c r="A222" s="868"/>
      <c r="B222" s="868"/>
      <c r="C222" s="867"/>
      <c r="D222" s="868"/>
      <c r="E222" s="868"/>
      <c r="F222" s="890"/>
      <c r="G222" s="875"/>
      <c r="H222" s="870"/>
      <c r="I222" s="775" t="s">
        <v>778</v>
      </c>
      <c r="J222" s="658">
        <f>VLOOKUP($I222,Prices!A:B,2,0)</f>
        <v>0</v>
      </c>
      <c r="K222" s="790">
        <f>VLOOKUP(I222,Prices!A:C,3,0)</f>
        <v>0</v>
      </c>
      <c r="L222" s="788">
        <v>16</v>
      </c>
      <c r="M222" s="788" t="s">
        <v>194</v>
      </c>
      <c r="N222" s="647">
        <f>VLOOKUP($I222,Prices!A:D,4,0)</f>
        <v>400000</v>
      </c>
      <c r="O222" s="772">
        <f t="shared" si="19"/>
        <v>6400000</v>
      </c>
      <c r="P222" s="793" t="s">
        <v>194</v>
      </c>
      <c r="Q222" s="869"/>
      <c r="R222" s="869"/>
      <c r="S222" s="886"/>
      <c r="T222" s="870"/>
      <c r="U222" s="854"/>
      <c r="V222" s="854"/>
      <c r="W222" s="890"/>
      <c r="X222" s="896"/>
      <c r="Y222" s="878"/>
      <c r="Z222" s="870"/>
      <c r="AA222" s="894"/>
      <c r="AB222" s="775"/>
      <c r="AC222" s="775"/>
      <c r="AD222" s="775"/>
      <c r="AE222" s="775"/>
      <c r="AF222" s="775"/>
      <c r="AG222" s="775"/>
      <c r="AH222" s="775"/>
      <c r="AI222" s="775"/>
      <c r="AJ222" s="775"/>
      <c r="AK222" s="775"/>
      <c r="AL222" s="775"/>
      <c r="AM222" s="775"/>
      <c r="AN222" s="775"/>
      <c r="AO222" s="775"/>
      <c r="AP222" s="775"/>
    </row>
    <row r="223" spans="1:42" s="141" customFormat="1" ht="18" customHeight="1">
      <c r="A223" s="868"/>
      <c r="B223" s="868"/>
      <c r="C223" s="867"/>
      <c r="D223" s="868"/>
      <c r="E223" s="868"/>
      <c r="F223" s="890"/>
      <c r="G223" s="875"/>
      <c r="H223" s="870"/>
      <c r="I223" s="775" t="s">
        <v>779</v>
      </c>
      <c r="J223" s="658">
        <f>VLOOKUP($I223,Prices!A:B,2,0)</f>
        <v>1</v>
      </c>
      <c r="K223" s="790">
        <f>VLOOKUP(I223,Prices!A:C,3,0)</f>
        <v>0</v>
      </c>
      <c r="L223" s="788">
        <v>23</v>
      </c>
      <c r="M223" s="788" t="s">
        <v>194</v>
      </c>
      <c r="N223" s="708" t="str">
        <f>VLOOKUP($I223,Prices!A:D,4,0)</f>
        <v>.</v>
      </c>
      <c r="O223" s="772" t="s">
        <v>194</v>
      </c>
      <c r="P223" s="793" t="s">
        <v>194</v>
      </c>
      <c r="Q223" s="869"/>
      <c r="R223" s="869"/>
      <c r="S223" s="886"/>
      <c r="T223" s="870"/>
      <c r="U223" s="854"/>
      <c r="V223" s="854"/>
      <c r="W223" s="890"/>
      <c r="X223" s="896"/>
      <c r="Y223" s="878"/>
      <c r="Z223" s="870"/>
      <c r="AA223" s="894"/>
      <c r="AB223" s="775"/>
      <c r="AC223" s="775"/>
      <c r="AD223" s="775"/>
      <c r="AE223" s="775"/>
      <c r="AF223" s="775"/>
      <c r="AG223" s="775"/>
      <c r="AH223" s="775"/>
      <c r="AI223" s="775"/>
      <c r="AJ223" s="775"/>
      <c r="AK223" s="775"/>
      <c r="AL223" s="775"/>
      <c r="AM223" s="775"/>
      <c r="AN223" s="775"/>
      <c r="AO223" s="775"/>
      <c r="AP223" s="775"/>
    </row>
    <row r="224" spans="1:42" s="141" customFormat="1" ht="21" customHeight="1">
      <c r="A224" s="868"/>
      <c r="B224" s="868"/>
      <c r="C224" s="867"/>
      <c r="D224" s="868"/>
      <c r="E224" s="868"/>
      <c r="F224" s="890"/>
      <c r="G224" s="875"/>
      <c r="H224" s="870"/>
      <c r="I224" s="775" t="s">
        <v>780</v>
      </c>
      <c r="J224" s="658">
        <f>VLOOKUP($I224,Prices!A:B,2,0)</f>
        <v>0</v>
      </c>
      <c r="K224" s="790">
        <f>VLOOKUP(I224,Prices!A:C,3,0)</f>
        <v>0</v>
      </c>
      <c r="L224" s="788">
        <v>49</v>
      </c>
      <c r="M224" s="788" t="s">
        <v>194</v>
      </c>
      <c r="N224" s="647">
        <f>VLOOKUP($I224,Prices!A:D,4,0)</f>
        <v>10000</v>
      </c>
      <c r="O224" s="772">
        <f t="shared" si="19"/>
        <v>490000</v>
      </c>
      <c r="P224" s="793" t="s">
        <v>194</v>
      </c>
      <c r="Q224" s="869"/>
      <c r="R224" s="869"/>
      <c r="S224" s="886"/>
      <c r="T224" s="870"/>
      <c r="U224" s="854"/>
      <c r="V224" s="854"/>
      <c r="W224" s="890"/>
      <c r="X224" s="896"/>
      <c r="Y224" s="878"/>
      <c r="Z224" s="870"/>
      <c r="AA224" s="894"/>
      <c r="AB224" s="775"/>
      <c r="AC224" s="775"/>
      <c r="AD224" s="775"/>
      <c r="AE224" s="775"/>
      <c r="AF224" s="775"/>
      <c r="AG224" s="775"/>
      <c r="AH224" s="775"/>
      <c r="AI224" s="775"/>
      <c r="AJ224" s="775"/>
      <c r="AK224" s="775"/>
      <c r="AL224" s="775"/>
      <c r="AM224" s="775"/>
      <c r="AN224" s="775"/>
      <c r="AO224" s="775"/>
      <c r="AP224" s="775"/>
    </row>
    <row r="225" spans="1:42" ht="63" customHeight="1">
      <c r="A225" s="767" t="s">
        <v>781</v>
      </c>
      <c r="B225" s="767" t="s">
        <v>763</v>
      </c>
      <c r="C225" s="768">
        <v>44672</v>
      </c>
      <c r="D225" s="767" t="s">
        <v>190</v>
      </c>
      <c r="E225" s="767" t="s">
        <v>199</v>
      </c>
      <c r="F225" s="787" t="s">
        <v>782</v>
      </c>
      <c r="G225" s="770" t="s">
        <v>259</v>
      </c>
      <c r="H225" s="761" t="s">
        <v>260</v>
      </c>
      <c r="I225" s="767" t="s">
        <v>495</v>
      </c>
      <c r="J225" s="658">
        <f>VLOOKUP($I225,Prices!A:B,2,0)</f>
        <v>0</v>
      </c>
      <c r="K225" s="790">
        <f>VLOOKUP(I225,Prices!A:C,3,0)</f>
        <v>0</v>
      </c>
      <c r="L225" s="651">
        <v>28</v>
      </c>
      <c r="M225" s="651" t="s">
        <v>194</v>
      </c>
      <c r="N225" s="707">
        <f>VLOOKUP($I225,Prices!A:D,4,0)</f>
        <v>10000</v>
      </c>
      <c r="O225" s="772">
        <f t="shared" si="19"/>
        <v>280000</v>
      </c>
      <c r="P225" s="793" t="s">
        <v>194</v>
      </c>
      <c r="Q225" s="769">
        <f>O225</f>
        <v>280000</v>
      </c>
      <c r="R225" s="769">
        <f>Q225/VLOOKUP(H225, 'Currency Conversion'!B:C, 2, 0)</f>
        <v>265151.51515151514</v>
      </c>
      <c r="S225" s="763" t="s">
        <v>194</v>
      </c>
      <c r="T225" s="761" t="s">
        <v>240</v>
      </c>
      <c r="U225" s="756" t="s">
        <v>783</v>
      </c>
      <c r="V225" s="756" t="s">
        <v>784</v>
      </c>
      <c r="W225" s="756" t="s">
        <v>785</v>
      </c>
      <c r="X225" s="771" t="s">
        <v>194</v>
      </c>
      <c r="Y225" s="759">
        <v>0</v>
      </c>
      <c r="Z225" s="761">
        <v>0</v>
      </c>
      <c r="AA225" s="802" t="s">
        <v>194</v>
      </c>
      <c r="AB225" s="767"/>
      <c r="AC225" s="767"/>
      <c r="AD225" s="767"/>
      <c r="AE225" s="767"/>
      <c r="AF225" s="767"/>
      <c r="AG225" s="767"/>
      <c r="AH225" s="767"/>
      <c r="AI225" s="767"/>
      <c r="AJ225" s="767"/>
      <c r="AK225" s="767"/>
      <c r="AL225" s="767"/>
      <c r="AM225" s="767"/>
      <c r="AN225" s="767"/>
      <c r="AO225" s="767"/>
      <c r="AP225" s="767"/>
    </row>
    <row r="226" spans="1:42" ht="63" customHeight="1">
      <c r="A226" s="750" t="s">
        <v>786</v>
      </c>
      <c r="B226" s="750" t="s">
        <v>763</v>
      </c>
      <c r="C226" s="751">
        <v>44701</v>
      </c>
      <c r="D226" s="750" t="s">
        <v>190</v>
      </c>
      <c r="E226" s="750" t="s">
        <v>191</v>
      </c>
      <c r="F226" s="789" t="s">
        <v>787</v>
      </c>
      <c r="G226" s="793" t="s">
        <v>201</v>
      </c>
      <c r="H226" s="754" t="s">
        <v>194</v>
      </c>
      <c r="I226" s="750" t="s">
        <v>194</v>
      </c>
      <c r="J226" s="658" t="str">
        <f>VLOOKUP($I226,Prices!A:B,2,0)</f>
        <v>.</v>
      </c>
      <c r="K226" s="790" t="s">
        <v>194</v>
      </c>
      <c r="L226" s="644" t="s">
        <v>194</v>
      </c>
      <c r="M226" s="644" t="s">
        <v>194</v>
      </c>
      <c r="N226" s="644" t="s">
        <v>194</v>
      </c>
      <c r="O226" s="772" t="s">
        <v>194</v>
      </c>
      <c r="P226" s="793" t="s">
        <v>194</v>
      </c>
      <c r="Q226" s="753" t="s">
        <v>194</v>
      </c>
      <c r="R226" s="753" t="s">
        <v>194</v>
      </c>
      <c r="S226" s="755" t="s">
        <v>194</v>
      </c>
      <c r="T226" s="754" t="s">
        <v>195</v>
      </c>
      <c r="U226" s="756" t="s">
        <v>788</v>
      </c>
      <c r="V226" s="797" t="s">
        <v>21</v>
      </c>
      <c r="W226" s="797" t="s">
        <v>21</v>
      </c>
      <c r="X226" s="814" t="s">
        <v>21</v>
      </c>
      <c r="Y226" s="754">
        <v>0</v>
      </c>
      <c r="Z226" s="754">
        <v>1</v>
      </c>
      <c r="AA226" s="754" t="s">
        <v>194</v>
      </c>
      <c r="AB226" s="614" t="s">
        <v>21</v>
      </c>
      <c r="AC226" s="614" t="s">
        <v>21</v>
      </c>
      <c r="AD226" s="614" t="s">
        <v>21</v>
      </c>
      <c r="AE226" s="614" t="s">
        <v>21</v>
      </c>
      <c r="AF226" s="614" t="s">
        <v>21</v>
      </c>
      <c r="AG226" s="614" t="s">
        <v>21</v>
      </c>
      <c r="AH226" s="614" t="s">
        <v>21</v>
      </c>
      <c r="AI226" s="614" t="s">
        <v>21</v>
      </c>
      <c r="AJ226" s="614" t="s">
        <v>21</v>
      </c>
      <c r="AK226" s="614" t="s">
        <v>21</v>
      </c>
      <c r="AL226" s="614" t="s">
        <v>21</v>
      </c>
      <c r="AM226" s="614" t="s">
        <v>21</v>
      </c>
      <c r="AN226" s="614" t="s">
        <v>21</v>
      </c>
      <c r="AO226" s="614" t="s">
        <v>21</v>
      </c>
      <c r="AP226" s="767"/>
    </row>
    <row r="227" spans="1:42" s="141" customFormat="1" ht="114.75" customHeight="1">
      <c r="A227" s="775" t="s">
        <v>789</v>
      </c>
      <c r="B227" s="775" t="s">
        <v>763</v>
      </c>
      <c r="C227" s="780">
        <v>44711</v>
      </c>
      <c r="D227" s="775" t="s">
        <v>190</v>
      </c>
      <c r="E227" s="775" t="s">
        <v>199</v>
      </c>
      <c r="F227" s="773" t="s">
        <v>790</v>
      </c>
      <c r="G227" s="777" t="s">
        <v>201</v>
      </c>
      <c r="H227" s="757" t="s">
        <v>260</v>
      </c>
      <c r="I227" s="775" t="s">
        <v>272</v>
      </c>
      <c r="J227" s="658">
        <f>VLOOKUP($I227,Prices!A:B,2,0)</f>
        <v>0</v>
      </c>
      <c r="K227" s="790">
        <f>VLOOKUP(I227,Prices!A:C,3,0)</f>
        <v>0</v>
      </c>
      <c r="L227" s="788">
        <v>12</v>
      </c>
      <c r="M227" s="788" t="s">
        <v>194</v>
      </c>
      <c r="N227" s="647">
        <f>VLOOKUP($I227,Prices!A:D,4,0)</f>
        <v>220000</v>
      </c>
      <c r="O227" s="772">
        <f t="shared" si="19"/>
        <v>2640000</v>
      </c>
      <c r="P227" s="793" t="s">
        <v>194</v>
      </c>
      <c r="Q227" s="772">
        <f>O227</f>
        <v>2640000</v>
      </c>
      <c r="R227" s="772">
        <f>Q227/VLOOKUP(H227, 'Currency Conversion'!B:C, 2, 0)</f>
        <v>2500000</v>
      </c>
      <c r="S227" s="749" t="s">
        <v>194</v>
      </c>
      <c r="T227" s="757" t="s">
        <v>240</v>
      </c>
      <c r="U227" s="756" t="s">
        <v>791</v>
      </c>
      <c r="V227" s="773" t="s">
        <v>194</v>
      </c>
      <c r="W227" s="773" t="s">
        <v>194</v>
      </c>
      <c r="X227" s="784" t="s">
        <v>194</v>
      </c>
      <c r="Y227" s="759">
        <v>0</v>
      </c>
      <c r="Z227" s="757">
        <v>0</v>
      </c>
      <c r="AA227" s="757" t="s">
        <v>194</v>
      </c>
      <c r="AB227" s="775"/>
      <c r="AC227" s="775"/>
      <c r="AD227" s="775"/>
      <c r="AE227" s="775"/>
      <c r="AF227" s="775"/>
      <c r="AG227" s="775"/>
      <c r="AH227" s="775"/>
      <c r="AI227" s="775"/>
      <c r="AJ227" s="775"/>
      <c r="AK227" s="775"/>
      <c r="AL227" s="775"/>
      <c r="AM227" s="775"/>
      <c r="AN227" s="775"/>
      <c r="AO227" s="775"/>
      <c r="AP227" s="775"/>
    </row>
    <row r="228" spans="1:42" s="141" customFormat="1" ht="63.75" customHeight="1">
      <c r="A228" s="750" t="s">
        <v>792</v>
      </c>
      <c r="B228" s="750" t="s">
        <v>763</v>
      </c>
      <c r="C228" s="751">
        <v>44729</v>
      </c>
      <c r="D228" s="750" t="s">
        <v>190</v>
      </c>
      <c r="E228" s="750" t="s">
        <v>191</v>
      </c>
      <c r="F228" s="752" t="s">
        <v>793</v>
      </c>
      <c r="G228" s="793" t="s">
        <v>201</v>
      </c>
      <c r="H228" s="754" t="s">
        <v>194</v>
      </c>
      <c r="I228" s="750" t="s">
        <v>194</v>
      </c>
      <c r="J228" s="658" t="str">
        <f>VLOOKUP($I228,Prices!A:B,2,0)</f>
        <v>.</v>
      </c>
      <c r="K228" s="790" t="s">
        <v>194</v>
      </c>
      <c r="L228" s="644" t="s">
        <v>194</v>
      </c>
      <c r="M228" s="644" t="s">
        <v>194</v>
      </c>
      <c r="N228" s="643" t="s">
        <v>194</v>
      </c>
      <c r="O228" s="772" t="s">
        <v>194</v>
      </c>
      <c r="P228" s="793" t="s">
        <v>194</v>
      </c>
      <c r="Q228" s="753" t="s">
        <v>194</v>
      </c>
      <c r="R228" s="753" t="s">
        <v>194</v>
      </c>
      <c r="S228" s="755" t="s">
        <v>194</v>
      </c>
      <c r="T228" s="754" t="s">
        <v>195</v>
      </c>
      <c r="U228" s="756" t="s">
        <v>794</v>
      </c>
      <c r="V228" s="752" t="s">
        <v>194</v>
      </c>
      <c r="W228" s="752" t="s">
        <v>194</v>
      </c>
      <c r="X228" s="822" t="s">
        <v>194</v>
      </c>
      <c r="Y228" s="774">
        <v>0</v>
      </c>
      <c r="Z228" s="774">
        <v>1</v>
      </c>
      <c r="AA228" s="774" t="s">
        <v>194</v>
      </c>
      <c r="AB228" s="820" t="s">
        <v>21</v>
      </c>
      <c r="AC228" s="820" t="s">
        <v>21</v>
      </c>
      <c r="AD228" s="820" t="s">
        <v>21</v>
      </c>
      <c r="AE228" s="820" t="s">
        <v>21</v>
      </c>
      <c r="AF228" s="820" t="s">
        <v>21</v>
      </c>
      <c r="AG228" s="820" t="s">
        <v>21</v>
      </c>
      <c r="AH228" s="820" t="s">
        <v>21</v>
      </c>
      <c r="AI228" s="820" t="s">
        <v>21</v>
      </c>
      <c r="AJ228" s="820" t="s">
        <v>21</v>
      </c>
      <c r="AK228" s="820" t="s">
        <v>21</v>
      </c>
      <c r="AL228" s="820" t="s">
        <v>21</v>
      </c>
      <c r="AM228" s="820" t="s">
        <v>21</v>
      </c>
      <c r="AN228" s="820" t="s">
        <v>21</v>
      </c>
      <c r="AO228" s="820" t="s">
        <v>21</v>
      </c>
      <c r="AP228" s="775"/>
    </row>
    <row r="229" spans="1:42" s="141" customFormat="1" ht="55.5" customHeight="1">
      <c r="A229" s="750" t="s">
        <v>795</v>
      </c>
      <c r="B229" s="750" t="s">
        <v>763</v>
      </c>
      <c r="C229" s="751">
        <v>44729</v>
      </c>
      <c r="D229" s="750" t="s">
        <v>190</v>
      </c>
      <c r="E229" s="750" t="s">
        <v>191</v>
      </c>
      <c r="F229" s="789" t="s">
        <v>796</v>
      </c>
      <c r="G229" s="793" t="s">
        <v>201</v>
      </c>
      <c r="H229" s="754" t="s">
        <v>194</v>
      </c>
      <c r="I229" s="750" t="s">
        <v>194</v>
      </c>
      <c r="J229" s="658" t="str">
        <f>VLOOKUP($I229,Prices!A:B,2,0)</f>
        <v>.</v>
      </c>
      <c r="K229" s="790" t="s">
        <v>194</v>
      </c>
      <c r="L229" s="644" t="s">
        <v>194</v>
      </c>
      <c r="M229" s="644" t="s">
        <v>194</v>
      </c>
      <c r="N229" s="643" t="s">
        <v>194</v>
      </c>
      <c r="O229" s="772" t="s">
        <v>194</v>
      </c>
      <c r="P229" s="793" t="s">
        <v>194</v>
      </c>
      <c r="Q229" s="753" t="s">
        <v>194</v>
      </c>
      <c r="R229" s="753" t="s">
        <v>194</v>
      </c>
      <c r="S229" s="755" t="s">
        <v>194</v>
      </c>
      <c r="T229" s="754" t="s">
        <v>195</v>
      </c>
      <c r="U229" s="756" t="s">
        <v>788</v>
      </c>
      <c r="V229" s="752" t="s">
        <v>194</v>
      </c>
      <c r="W229" s="752" t="s">
        <v>194</v>
      </c>
      <c r="X229" s="822" t="s">
        <v>194</v>
      </c>
      <c r="Y229" s="774">
        <v>0</v>
      </c>
      <c r="Z229" s="774">
        <v>1</v>
      </c>
      <c r="AA229" s="774" t="s">
        <v>194</v>
      </c>
      <c r="AB229" s="820" t="s">
        <v>21</v>
      </c>
      <c r="AC229" s="820" t="s">
        <v>21</v>
      </c>
      <c r="AD229" s="820" t="s">
        <v>21</v>
      </c>
      <c r="AE229" s="820" t="s">
        <v>21</v>
      </c>
      <c r="AF229" s="820" t="s">
        <v>21</v>
      </c>
      <c r="AG229" s="820" t="s">
        <v>21</v>
      </c>
      <c r="AH229" s="820" t="s">
        <v>21</v>
      </c>
      <c r="AI229" s="820" t="s">
        <v>21</v>
      </c>
      <c r="AJ229" s="820" t="s">
        <v>21</v>
      </c>
      <c r="AK229" s="820" t="s">
        <v>21</v>
      </c>
      <c r="AL229" s="820" t="s">
        <v>21</v>
      </c>
      <c r="AM229" s="820" t="s">
        <v>21</v>
      </c>
      <c r="AN229" s="820" t="s">
        <v>21</v>
      </c>
      <c r="AO229" s="820" t="s">
        <v>21</v>
      </c>
      <c r="AP229" s="775"/>
    </row>
    <row r="230" spans="1:42" s="141" customFormat="1" ht="54" customHeight="1">
      <c r="A230" s="750" t="s">
        <v>797</v>
      </c>
      <c r="B230" s="750" t="s">
        <v>763</v>
      </c>
      <c r="C230" s="751">
        <v>44740</v>
      </c>
      <c r="D230" s="750" t="s">
        <v>190</v>
      </c>
      <c r="E230" s="750" t="s">
        <v>199</v>
      </c>
      <c r="F230" s="789" t="s">
        <v>798</v>
      </c>
      <c r="G230" s="793" t="s">
        <v>201</v>
      </c>
      <c r="H230" s="754" t="s">
        <v>194</v>
      </c>
      <c r="I230" s="750" t="s">
        <v>194</v>
      </c>
      <c r="J230" s="658" t="str">
        <f>VLOOKUP($I230,Prices!A:B,2,0)</f>
        <v>.</v>
      </c>
      <c r="K230" s="790" t="s">
        <v>194</v>
      </c>
      <c r="L230" s="644" t="s">
        <v>194</v>
      </c>
      <c r="M230" s="644" t="s">
        <v>194</v>
      </c>
      <c r="N230" s="643" t="s">
        <v>194</v>
      </c>
      <c r="O230" s="772" t="s">
        <v>194</v>
      </c>
      <c r="P230" s="793" t="s">
        <v>194</v>
      </c>
      <c r="Q230" s="753" t="s">
        <v>194</v>
      </c>
      <c r="R230" s="753" t="s">
        <v>194</v>
      </c>
      <c r="S230" s="755" t="s">
        <v>194</v>
      </c>
      <c r="T230" s="754" t="s">
        <v>195</v>
      </c>
      <c r="U230" s="756" t="s">
        <v>799</v>
      </c>
      <c r="V230" s="752" t="s">
        <v>194</v>
      </c>
      <c r="W230" s="752" t="s">
        <v>194</v>
      </c>
      <c r="X230" s="822" t="s">
        <v>194</v>
      </c>
      <c r="Y230" s="774">
        <v>0</v>
      </c>
      <c r="Z230" s="774">
        <v>1</v>
      </c>
      <c r="AA230" s="774" t="s">
        <v>21</v>
      </c>
      <c r="AB230" s="820" t="s">
        <v>21</v>
      </c>
      <c r="AC230" s="820" t="s">
        <v>21</v>
      </c>
      <c r="AD230" s="820" t="s">
        <v>21</v>
      </c>
      <c r="AE230" s="820" t="s">
        <v>21</v>
      </c>
      <c r="AF230" s="820" t="s">
        <v>21</v>
      </c>
      <c r="AG230" s="820" t="s">
        <v>21</v>
      </c>
      <c r="AH230" s="820" t="s">
        <v>21</v>
      </c>
      <c r="AI230" s="820" t="s">
        <v>21</v>
      </c>
      <c r="AJ230" s="820" t="s">
        <v>21</v>
      </c>
      <c r="AK230" s="820" t="s">
        <v>21</v>
      </c>
      <c r="AL230" s="820" t="s">
        <v>21</v>
      </c>
      <c r="AM230" s="820" t="s">
        <v>21</v>
      </c>
      <c r="AN230" s="820" t="s">
        <v>21</v>
      </c>
      <c r="AO230" s="820" t="s">
        <v>21</v>
      </c>
      <c r="AP230" s="775"/>
    </row>
    <row r="231" spans="1:42" s="141" customFormat="1" ht="43.5" customHeight="1">
      <c r="A231" s="775" t="s">
        <v>800</v>
      </c>
      <c r="B231" s="775" t="s">
        <v>763</v>
      </c>
      <c r="C231" s="780">
        <v>44600</v>
      </c>
      <c r="D231" s="775" t="s">
        <v>292</v>
      </c>
      <c r="E231" s="775" t="s">
        <v>351</v>
      </c>
      <c r="F231" s="765" t="s">
        <v>801</v>
      </c>
      <c r="G231" s="777">
        <v>200000000</v>
      </c>
      <c r="H231" s="757" t="s">
        <v>278</v>
      </c>
      <c r="I231" s="775" t="s">
        <v>194</v>
      </c>
      <c r="J231" s="658" t="str">
        <f>VLOOKUP($I231,Prices!A:B,2,0)</f>
        <v>.</v>
      </c>
      <c r="K231" s="790" t="s">
        <v>194</v>
      </c>
      <c r="L231" s="788" t="s">
        <v>194</v>
      </c>
      <c r="M231" s="788" t="s">
        <v>194</v>
      </c>
      <c r="N231" s="708" t="str">
        <f>VLOOKUP($I231,Prices!A:D,4,0)</f>
        <v>.</v>
      </c>
      <c r="O231" s="772" t="s">
        <v>194</v>
      </c>
      <c r="P231" s="793" t="s">
        <v>194</v>
      </c>
      <c r="Q231" s="772">
        <f>G231</f>
        <v>200000000</v>
      </c>
      <c r="R231" s="772">
        <f>Q231/VLOOKUP(H231, 'Currency Conversion'!B:C, 2, 0)</f>
        <v>200000000</v>
      </c>
      <c r="S231" s="749" t="s">
        <v>194</v>
      </c>
      <c r="T231" s="757" t="s">
        <v>325</v>
      </c>
      <c r="U231" s="756" t="s">
        <v>802</v>
      </c>
      <c r="V231" s="773" t="s">
        <v>194</v>
      </c>
      <c r="W231" s="773" t="s">
        <v>194</v>
      </c>
      <c r="X231" s="784" t="s">
        <v>194</v>
      </c>
      <c r="Y231" s="759">
        <v>0</v>
      </c>
      <c r="Z231" s="757">
        <v>0</v>
      </c>
      <c r="AA231" s="799" t="s">
        <v>194</v>
      </c>
      <c r="AB231" s="775"/>
      <c r="AC231" s="775"/>
      <c r="AD231" s="775"/>
      <c r="AE231" s="775"/>
      <c r="AF231" s="775"/>
      <c r="AG231" s="775"/>
      <c r="AH231" s="775"/>
      <c r="AI231" s="775"/>
      <c r="AJ231" s="775"/>
      <c r="AK231" s="775"/>
      <c r="AL231" s="775"/>
      <c r="AM231" s="775"/>
      <c r="AN231" s="775"/>
      <c r="AO231" s="775"/>
      <c r="AP231" s="775"/>
    </row>
    <row r="232" spans="1:42" s="141" customFormat="1" ht="67.5" customHeight="1">
      <c r="A232" s="775" t="s">
        <v>803</v>
      </c>
      <c r="B232" s="775" t="s">
        <v>763</v>
      </c>
      <c r="C232" s="780">
        <v>44600</v>
      </c>
      <c r="D232" s="775" t="s">
        <v>292</v>
      </c>
      <c r="E232" s="775" t="s">
        <v>804</v>
      </c>
      <c r="F232" s="765" t="s">
        <v>805</v>
      </c>
      <c r="G232" s="777">
        <v>1000000000</v>
      </c>
      <c r="H232" s="757" t="s">
        <v>278</v>
      </c>
      <c r="I232" s="775" t="s">
        <v>194</v>
      </c>
      <c r="J232" s="658" t="str">
        <f>VLOOKUP($I232,Prices!A:B,2,0)</f>
        <v>.</v>
      </c>
      <c r="K232" s="790" t="s">
        <v>194</v>
      </c>
      <c r="L232" s="788" t="s">
        <v>194</v>
      </c>
      <c r="M232" s="788" t="s">
        <v>194</v>
      </c>
      <c r="N232" s="647" t="str">
        <f>VLOOKUP($I232,Prices!A:D,4,0)</f>
        <v>.</v>
      </c>
      <c r="O232" s="772" t="s">
        <v>194</v>
      </c>
      <c r="P232" s="793" t="s">
        <v>194</v>
      </c>
      <c r="Q232" s="772">
        <f>G232</f>
        <v>1000000000</v>
      </c>
      <c r="R232" s="772">
        <f>Q232/VLOOKUP(H232, 'Currency Conversion'!B:C, 2, 0)</f>
        <v>1000000000</v>
      </c>
      <c r="S232" s="749" t="s">
        <v>194</v>
      </c>
      <c r="T232" s="757" t="s">
        <v>325</v>
      </c>
      <c r="U232" s="756" t="s">
        <v>802</v>
      </c>
      <c r="V232" s="773" t="s">
        <v>194</v>
      </c>
      <c r="W232" s="773" t="s">
        <v>194</v>
      </c>
      <c r="X232" s="784" t="s">
        <v>194</v>
      </c>
      <c r="Y232" s="759">
        <v>0</v>
      </c>
      <c r="Z232" s="757">
        <v>0</v>
      </c>
      <c r="AA232" s="799" t="s">
        <v>194</v>
      </c>
      <c r="AB232" s="775"/>
      <c r="AC232" s="775"/>
      <c r="AD232" s="775"/>
      <c r="AE232" s="775"/>
      <c r="AF232" s="775"/>
      <c r="AG232" s="775"/>
      <c r="AH232" s="775"/>
      <c r="AI232" s="775"/>
      <c r="AJ232" s="775"/>
      <c r="AK232" s="775"/>
      <c r="AL232" s="775"/>
      <c r="AM232" s="775"/>
      <c r="AN232" s="775"/>
      <c r="AO232" s="775"/>
      <c r="AP232" s="775"/>
    </row>
    <row r="233" spans="1:42" s="141" customFormat="1" ht="68.099999999999994" customHeight="1">
      <c r="A233" s="775" t="s">
        <v>806</v>
      </c>
      <c r="B233" s="775" t="s">
        <v>763</v>
      </c>
      <c r="C233" s="780">
        <v>44617</v>
      </c>
      <c r="D233" s="775" t="s">
        <v>292</v>
      </c>
      <c r="E233" s="775" t="s">
        <v>351</v>
      </c>
      <c r="F233" s="773" t="s">
        <v>807</v>
      </c>
      <c r="G233" s="777">
        <v>300000000</v>
      </c>
      <c r="H233" s="757" t="s">
        <v>278</v>
      </c>
      <c r="I233" s="775" t="s">
        <v>194</v>
      </c>
      <c r="J233" s="658" t="str">
        <f>VLOOKUP($I233,Prices!A:B,2,0)</f>
        <v>.</v>
      </c>
      <c r="K233" s="790" t="s">
        <v>194</v>
      </c>
      <c r="L233" s="788" t="s">
        <v>194</v>
      </c>
      <c r="M233" s="788" t="s">
        <v>194</v>
      </c>
      <c r="N233" s="708" t="str">
        <f>VLOOKUP($I233,Prices!A:D,4,0)</f>
        <v>.</v>
      </c>
      <c r="O233" s="772" t="s">
        <v>194</v>
      </c>
      <c r="P233" s="793" t="s">
        <v>194</v>
      </c>
      <c r="Q233" s="772">
        <f>G233</f>
        <v>300000000</v>
      </c>
      <c r="R233" s="772">
        <f>Q233/VLOOKUP(H233, 'Currency Conversion'!B:C, 2, 0)</f>
        <v>300000000</v>
      </c>
      <c r="S233" s="749" t="s">
        <v>194</v>
      </c>
      <c r="T233" s="757" t="s">
        <v>195</v>
      </c>
      <c r="U233" s="756" t="s">
        <v>808</v>
      </c>
      <c r="V233" s="756" t="s">
        <v>809</v>
      </c>
      <c r="W233" s="756" t="s">
        <v>810</v>
      </c>
      <c r="X233" s="784" t="s">
        <v>194</v>
      </c>
      <c r="Y233" s="759">
        <v>0</v>
      </c>
      <c r="Z233" s="757">
        <v>0</v>
      </c>
      <c r="AA233" s="799" t="s">
        <v>194</v>
      </c>
      <c r="AB233" s="775"/>
      <c r="AC233" s="775"/>
      <c r="AD233" s="775"/>
      <c r="AE233" s="775"/>
      <c r="AF233" s="775"/>
      <c r="AG233" s="775"/>
      <c r="AH233" s="775"/>
      <c r="AI233" s="775"/>
      <c r="AJ233" s="775"/>
      <c r="AK233" s="775"/>
      <c r="AL233" s="775"/>
      <c r="AM233" s="775"/>
      <c r="AN233" s="775"/>
      <c r="AO233" s="775"/>
      <c r="AP233" s="775"/>
    </row>
    <row r="234" spans="1:42" s="141" customFormat="1" ht="100.5" customHeight="1">
      <c r="A234" s="775" t="s">
        <v>811</v>
      </c>
      <c r="B234" s="775" t="s">
        <v>763</v>
      </c>
      <c r="C234" s="780">
        <v>44686</v>
      </c>
      <c r="D234" s="775" t="s">
        <v>292</v>
      </c>
      <c r="E234" s="775" t="s">
        <v>351</v>
      </c>
      <c r="F234" s="773" t="s">
        <v>812</v>
      </c>
      <c r="G234" s="777">
        <v>300000000</v>
      </c>
      <c r="H234" s="757" t="s">
        <v>278</v>
      </c>
      <c r="I234" s="775" t="s">
        <v>194</v>
      </c>
      <c r="J234" s="658" t="str">
        <f>VLOOKUP($I234,Prices!A:B,2,0)</f>
        <v>.</v>
      </c>
      <c r="K234" s="790" t="s">
        <v>194</v>
      </c>
      <c r="L234" s="788" t="s">
        <v>194</v>
      </c>
      <c r="M234" s="788" t="s">
        <v>194</v>
      </c>
      <c r="N234" s="647" t="str">
        <f>VLOOKUP($I234,Prices!A:D,4,0)</f>
        <v>.</v>
      </c>
      <c r="O234" s="772" t="s">
        <v>194</v>
      </c>
      <c r="P234" s="793" t="s">
        <v>194</v>
      </c>
      <c r="Q234" s="772">
        <f>G234</f>
        <v>300000000</v>
      </c>
      <c r="R234" s="772">
        <f>Q234/VLOOKUP(H234, 'Currency Conversion'!B:C, 2, 0)</f>
        <v>300000000</v>
      </c>
      <c r="S234" s="749" t="s">
        <v>194</v>
      </c>
      <c r="T234" s="757" t="s">
        <v>240</v>
      </c>
      <c r="U234" s="756" t="s">
        <v>813</v>
      </c>
      <c r="V234" s="764" t="s">
        <v>814</v>
      </c>
      <c r="W234" s="177" t="s">
        <v>194</v>
      </c>
      <c r="X234" s="772" t="s">
        <v>194</v>
      </c>
      <c r="Y234" s="759">
        <v>0</v>
      </c>
      <c r="Z234" s="757">
        <v>0</v>
      </c>
      <c r="AA234" s="799" t="s">
        <v>194</v>
      </c>
      <c r="AB234" s="775"/>
      <c r="AC234" s="775"/>
      <c r="AD234" s="775"/>
      <c r="AE234" s="775"/>
      <c r="AF234" s="775"/>
      <c r="AG234" s="775"/>
      <c r="AH234" s="775"/>
      <c r="AI234" s="775"/>
      <c r="AJ234" s="775"/>
      <c r="AK234" s="775"/>
      <c r="AL234" s="775"/>
      <c r="AM234" s="775"/>
      <c r="AN234" s="775"/>
      <c r="AO234" s="775"/>
      <c r="AP234" s="775"/>
    </row>
    <row r="235" spans="1:42" s="661" customFormat="1" ht="89.25" customHeight="1">
      <c r="A235" s="767" t="s">
        <v>815</v>
      </c>
      <c r="B235" s="767" t="s">
        <v>763</v>
      </c>
      <c r="C235" s="768" t="s">
        <v>816</v>
      </c>
      <c r="D235" s="767" t="s">
        <v>212</v>
      </c>
      <c r="E235" s="767" t="s">
        <v>213</v>
      </c>
      <c r="F235" s="662" t="s">
        <v>817</v>
      </c>
      <c r="G235" s="770">
        <v>100000000</v>
      </c>
      <c r="H235" s="761" t="s">
        <v>278</v>
      </c>
      <c r="I235" s="767" t="s">
        <v>818</v>
      </c>
      <c r="J235" s="658">
        <f>VLOOKUP($I235,Prices!A:B,2,0)</f>
        <v>4</v>
      </c>
      <c r="K235" s="790">
        <f>VLOOKUP(I235,Prices!A:C,3,0)</f>
        <v>0</v>
      </c>
      <c r="L235" s="651">
        <v>24</v>
      </c>
      <c r="M235" s="651">
        <v>24</v>
      </c>
      <c r="N235" s="707">
        <f>VLOOKUP($I235,Prices!A:D,4,0)</f>
        <v>30000</v>
      </c>
      <c r="O235" s="772">
        <f t="shared" si="19"/>
        <v>720000</v>
      </c>
      <c r="P235" s="793">
        <f t="shared" si="20"/>
        <v>720000</v>
      </c>
      <c r="Q235" s="769">
        <f>G235</f>
        <v>100000000</v>
      </c>
      <c r="R235" s="769">
        <f>Q235/VLOOKUP(H235, 'Currency Conversion'!B:C, 2, 0)</f>
        <v>100000000</v>
      </c>
      <c r="S235" s="763">
        <f>R235</f>
        <v>100000000</v>
      </c>
      <c r="T235" s="761" t="s">
        <v>240</v>
      </c>
      <c r="U235" s="756" t="s">
        <v>819</v>
      </c>
      <c r="V235" s="756" t="s">
        <v>820</v>
      </c>
      <c r="W235" s="756" t="s">
        <v>821</v>
      </c>
      <c r="X235" s="772" t="s">
        <v>194</v>
      </c>
      <c r="Y235" s="759">
        <v>0</v>
      </c>
      <c r="Z235" s="761">
        <v>0</v>
      </c>
      <c r="AA235" s="762" t="s">
        <v>822</v>
      </c>
    </row>
    <row r="236" spans="1:42" ht="72.599999999999994" customHeight="1">
      <c r="A236" s="767" t="s">
        <v>823</v>
      </c>
      <c r="B236" s="767" t="s">
        <v>763</v>
      </c>
      <c r="C236" s="768">
        <v>44674</v>
      </c>
      <c r="D236" s="767" t="s">
        <v>212</v>
      </c>
      <c r="E236" s="767" t="s">
        <v>320</v>
      </c>
      <c r="F236" s="787" t="s">
        <v>824</v>
      </c>
      <c r="G236" s="770" t="s">
        <v>201</v>
      </c>
      <c r="H236" s="761" t="s">
        <v>260</v>
      </c>
      <c r="I236" s="767" t="s">
        <v>825</v>
      </c>
      <c r="J236" s="658">
        <f>VLOOKUP($I236,Prices!A:B,2,0)</f>
        <v>4</v>
      </c>
      <c r="K236" s="790">
        <f>VLOOKUP(I236,Prices!A:C,3,0)</f>
        <v>0</v>
      </c>
      <c r="L236" s="651">
        <v>12</v>
      </c>
      <c r="M236" s="651">
        <v>12</v>
      </c>
      <c r="N236" s="647">
        <f>VLOOKUP($I236,Prices!A:D,4,0)</f>
        <v>5500000</v>
      </c>
      <c r="O236" s="772">
        <f t="shared" si="19"/>
        <v>66000000</v>
      </c>
      <c r="P236" s="793">
        <f t="shared" si="20"/>
        <v>66000000</v>
      </c>
      <c r="Q236" s="769">
        <f>O236</f>
        <v>66000000</v>
      </c>
      <c r="R236" s="769">
        <f>Q236/VLOOKUP(H236, 'Currency Conversion'!B:C, 2, 0)</f>
        <v>62500000</v>
      </c>
      <c r="S236" s="763">
        <f>R236</f>
        <v>62500000</v>
      </c>
      <c r="T236" s="761" t="s">
        <v>298</v>
      </c>
      <c r="U236" s="756" t="s">
        <v>821</v>
      </c>
      <c r="V236" s="756" t="s">
        <v>826</v>
      </c>
      <c r="W236" s="787" t="s">
        <v>194</v>
      </c>
      <c r="X236" s="772" t="s">
        <v>194</v>
      </c>
      <c r="Y236" s="759">
        <v>0</v>
      </c>
      <c r="Z236" s="761">
        <v>0</v>
      </c>
      <c r="AA236" s="762" t="s">
        <v>827</v>
      </c>
      <c r="AB236" s="767"/>
      <c r="AC236" s="767"/>
      <c r="AD236" s="767"/>
      <c r="AE236" s="767"/>
      <c r="AF236" s="767"/>
      <c r="AG236" s="767"/>
      <c r="AH236" s="767"/>
      <c r="AI236" s="767"/>
      <c r="AJ236" s="767"/>
      <c r="AK236" s="767"/>
      <c r="AL236" s="767"/>
      <c r="AM236" s="767"/>
      <c r="AN236" s="767"/>
      <c r="AO236" s="767"/>
      <c r="AP236" s="767"/>
    </row>
    <row r="237" spans="1:42" s="141" customFormat="1" ht="72.599999999999994" customHeight="1">
      <c r="A237" s="775" t="s">
        <v>828</v>
      </c>
      <c r="B237" s="775" t="s">
        <v>763</v>
      </c>
      <c r="C237" s="780">
        <v>44681</v>
      </c>
      <c r="D237" s="775" t="s">
        <v>212</v>
      </c>
      <c r="E237" s="775" t="s">
        <v>213</v>
      </c>
      <c r="F237" s="773" t="s">
        <v>829</v>
      </c>
      <c r="G237" s="777" t="s">
        <v>259</v>
      </c>
      <c r="H237" s="757" t="s">
        <v>194</v>
      </c>
      <c r="I237" s="775" t="s">
        <v>194</v>
      </c>
      <c r="J237" s="658" t="str">
        <f>VLOOKUP($I237,Prices!A:B,2,0)</f>
        <v>.</v>
      </c>
      <c r="K237" s="790" t="s">
        <v>194</v>
      </c>
      <c r="L237" s="788" t="s">
        <v>194</v>
      </c>
      <c r="M237" s="788" t="s">
        <v>194</v>
      </c>
      <c r="N237" s="708" t="str">
        <f>VLOOKUP($I237,Prices!A:D,4,0)</f>
        <v>.</v>
      </c>
      <c r="O237" s="772" t="s">
        <v>194</v>
      </c>
      <c r="P237" s="793" t="s">
        <v>194</v>
      </c>
      <c r="Q237" s="772" t="s">
        <v>194</v>
      </c>
      <c r="R237" s="769" t="s">
        <v>194</v>
      </c>
      <c r="S237" s="749" t="s">
        <v>194</v>
      </c>
      <c r="T237" s="757" t="s">
        <v>325</v>
      </c>
      <c r="U237" s="756" t="s">
        <v>830</v>
      </c>
      <c r="V237" s="773" t="s">
        <v>194</v>
      </c>
      <c r="W237" s="773" t="s">
        <v>194</v>
      </c>
      <c r="X237" s="772" t="s">
        <v>194</v>
      </c>
      <c r="Y237" s="759">
        <v>0</v>
      </c>
      <c r="Z237" s="757">
        <v>0</v>
      </c>
      <c r="AA237" s="799" t="s">
        <v>194</v>
      </c>
      <c r="AB237" s="775"/>
      <c r="AC237" s="775"/>
      <c r="AD237" s="775"/>
      <c r="AE237" s="775"/>
      <c r="AF237" s="775"/>
      <c r="AG237" s="775"/>
      <c r="AH237" s="775"/>
      <c r="AI237" s="775"/>
      <c r="AJ237" s="775"/>
      <c r="AK237" s="775"/>
      <c r="AL237" s="775"/>
      <c r="AM237" s="775"/>
      <c r="AN237" s="775"/>
      <c r="AO237" s="775"/>
      <c r="AP237" s="775"/>
    </row>
    <row r="238" spans="1:42" s="141" customFormat="1" ht="72.599999999999994" customHeight="1">
      <c r="A238" s="784" t="s">
        <v>831</v>
      </c>
      <c r="B238" s="784" t="s">
        <v>763</v>
      </c>
      <c r="C238" s="794">
        <v>44712</v>
      </c>
      <c r="D238" s="784" t="s">
        <v>212</v>
      </c>
      <c r="E238" s="784" t="s">
        <v>213</v>
      </c>
      <c r="F238" s="773" t="s">
        <v>832</v>
      </c>
      <c r="G238" s="772" t="s">
        <v>201</v>
      </c>
      <c r="H238" s="757" t="s">
        <v>194</v>
      </c>
      <c r="I238" s="775" t="s">
        <v>194</v>
      </c>
      <c r="J238" s="658" t="str">
        <f>VLOOKUP($I238,Prices!A:B,2,0)</f>
        <v>.</v>
      </c>
      <c r="K238" s="790" t="s">
        <v>194</v>
      </c>
      <c r="L238" s="788" t="s">
        <v>194</v>
      </c>
      <c r="M238" s="788" t="s">
        <v>194</v>
      </c>
      <c r="N238" s="647" t="str">
        <f>VLOOKUP($I238,Prices!A:D,4,0)</f>
        <v>.</v>
      </c>
      <c r="O238" s="772" t="s">
        <v>194</v>
      </c>
      <c r="P238" s="793" t="s">
        <v>194</v>
      </c>
      <c r="Q238" s="772" t="s">
        <v>194</v>
      </c>
      <c r="R238" s="769" t="s">
        <v>194</v>
      </c>
      <c r="S238" s="749" t="s">
        <v>194</v>
      </c>
      <c r="T238" s="757" t="s">
        <v>325</v>
      </c>
      <c r="U238" s="756" t="s">
        <v>833</v>
      </c>
      <c r="V238" s="773" t="s">
        <v>194</v>
      </c>
      <c r="W238" s="773" t="s">
        <v>194</v>
      </c>
      <c r="X238" s="784" t="s">
        <v>194</v>
      </c>
      <c r="Y238" s="759">
        <v>0</v>
      </c>
      <c r="Z238" s="759">
        <v>0</v>
      </c>
      <c r="AA238" s="799" t="s">
        <v>194</v>
      </c>
      <c r="AB238" s="775"/>
      <c r="AC238" s="775"/>
      <c r="AD238" s="775"/>
      <c r="AE238" s="775"/>
      <c r="AF238" s="775"/>
      <c r="AG238" s="775"/>
      <c r="AH238" s="775"/>
      <c r="AI238" s="775"/>
      <c r="AJ238" s="775"/>
      <c r="AK238" s="775"/>
      <c r="AL238" s="775"/>
      <c r="AM238" s="775"/>
      <c r="AN238" s="775"/>
      <c r="AO238" s="775"/>
      <c r="AP238" s="775"/>
    </row>
    <row r="239" spans="1:42" s="742" customFormat="1" ht="72.599999999999994" customHeight="1">
      <c r="A239" s="880" t="s">
        <v>834</v>
      </c>
      <c r="B239" s="880" t="s">
        <v>763</v>
      </c>
      <c r="C239" s="866" t="s">
        <v>835</v>
      </c>
      <c r="D239" s="880" t="s">
        <v>212</v>
      </c>
      <c r="E239" s="880" t="s">
        <v>320</v>
      </c>
      <c r="F239" s="890" t="s">
        <v>836</v>
      </c>
      <c r="G239" s="869" t="s">
        <v>201</v>
      </c>
      <c r="H239" s="870" t="s">
        <v>260</v>
      </c>
      <c r="I239" s="775" t="s">
        <v>825</v>
      </c>
      <c r="J239" s="658">
        <f>VLOOKUP($I239,Prices!A:B,2,0)</f>
        <v>4</v>
      </c>
      <c r="K239" s="790" t="s">
        <v>194</v>
      </c>
      <c r="L239" s="788">
        <v>6</v>
      </c>
      <c r="M239" s="788">
        <v>0</v>
      </c>
      <c r="N239" s="647">
        <f>VLOOKUP($I239,Prices!A:D,4,0)</f>
        <v>5500000</v>
      </c>
      <c r="O239" s="772">
        <f>L239*N239</f>
        <v>33000000</v>
      </c>
      <c r="P239" s="793">
        <v>0</v>
      </c>
      <c r="Q239" s="869">
        <f>SUM(O239:O240)</f>
        <v>33000000</v>
      </c>
      <c r="R239" s="869">
        <f>Q239/VLOOKUP(H239, 'Currency Conversion'!B:C, 2, 0)</f>
        <v>31250000</v>
      </c>
      <c r="S239" s="886" t="s">
        <v>194</v>
      </c>
      <c r="T239" s="870" t="s">
        <v>195</v>
      </c>
      <c r="U239" s="854" t="s">
        <v>837</v>
      </c>
      <c r="V239" s="871" t="s">
        <v>194</v>
      </c>
      <c r="W239" s="871" t="s">
        <v>194</v>
      </c>
      <c r="X239" s="871" t="s">
        <v>194</v>
      </c>
      <c r="Y239" s="878">
        <v>0</v>
      </c>
      <c r="Z239" s="878">
        <v>1</v>
      </c>
      <c r="AA239" s="886" t="s">
        <v>194</v>
      </c>
      <c r="AB239" s="775"/>
      <c r="AC239" s="775"/>
      <c r="AD239" s="775"/>
      <c r="AE239" s="775"/>
      <c r="AF239" s="775"/>
      <c r="AG239" s="775"/>
      <c r="AH239" s="775"/>
      <c r="AI239" s="775"/>
      <c r="AJ239" s="775"/>
      <c r="AK239" s="775"/>
      <c r="AL239" s="775"/>
      <c r="AM239" s="775"/>
      <c r="AN239" s="775"/>
      <c r="AO239" s="775"/>
      <c r="AP239" s="775"/>
    </row>
    <row r="240" spans="1:42" s="742" customFormat="1" ht="72.599999999999994" customHeight="1">
      <c r="A240" s="880"/>
      <c r="B240" s="880"/>
      <c r="C240" s="866"/>
      <c r="D240" s="880"/>
      <c r="E240" s="880"/>
      <c r="F240" s="890"/>
      <c r="G240" s="869"/>
      <c r="H240" s="870"/>
      <c r="I240" s="775" t="s">
        <v>838</v>
      </c>
      <c r="J240" s="658">
        <f>VLOOKUP($I240,Prices!A:B,2,0)</f>
        <v>1</v>
      </c>
      <c r="K240" s="790" t="s">
        <v>194</v>
      </c>
      <c r="L240" s="788" t="s">
        <v>224</v>
      </c>
      <c r="M240" s="788" t="s">
        <v>194</v>
      </c>
      <c r="N240" s="647">
        <f>VLOOKUP($I240,Prices!A:D,4,0)</f>
        <v>60000</v>
      </c>
      <c r="O240" s="772" t="s">
        <v>194</v>
      </c>
      <c r="P240" s="793"/>
      <c r="Q240" s="869"/>
      <c r="R240" s="869"/>
      <c r="S240" s="886"/>
      <c r="T240" s="870"/>
      <c r="U240" s="854"/>
      <c r="V240" s="871"/>
      <c r="W240" s="871"/>
      <c r="X240" s="871"/>
      <c r="Y240" s="878"/>
      <c r="Z240" s="878"/>
      <c r="AA240" s="886"/>
      <c r="AB240" s="775"/>
      <c r="AC240" s="775"/>
      <c r="AD240" s="775"/>
      <c r="AE240" s="775"/>
      <c r="AF240" s="775"/>
      <c r="AG240" s="775"/>
      <c r="AH240" s="775"/>
      <c r="AI240" s="775"/>
      <c r="AJ240" s="775"/>
      <c r="AK240" s="775"/>
      <c r="AL240" s="775"/>
      <c r="AM240" s="775"/>
      <c r="AN240" s="775"/>
      <c r="AO240" s="775"/>
      <c r="AP240" s="775"/>
    </row>
    <row r="241" spans="1:42" s="141" customFormat="1" ht="105.75" customHeight="1">
      <c r="A241" s="784" t="s">
        <v>839</v>
      </c>
      <c r="B241" s="784" t="s">
        <v>840</v>
      </c>
      <c r="C241" s="784" t="s">
        <v>841</v>
      </c>
      <c r="D241" s="784" t="s">
        <v>190</v>
      </c>
      <c r="E241" s="784" t="s">
        <v>602</v>
      </c>
      <c r="F241" s="773" t="s">
        <v>842</v>
      </c>
      <c r="G241" s="772">
        <v>185000000</v>
      </c>
      <c r="H241" s="757" t="s">
        <v>278</v>
      </c>
      <c r="I241" s="772" t="s">
        <v>194</v>
      </c>
      <c r="J241" s="658" t="str">
        <f>VLOOKUP($I241,Prices!A:B,2,0)</f>
        <v>.</v>
      </c>
      <c r="K241" s="790" t="s">
        <v>194</v>
      </c>
      <c r="L241" s="788" t="s">
        <v>194</v>
      </c>
      <c r="M241" s="788" t="s">
        <v>194</v>
      </c>
      <c r="N241" s="647" t="str">
        <f>VLOOKUP($I241,Prices!A:D,4,0)</f>
        <v>.</v>
      </c>
      <c r="O241" s="772" t="s">
        <v>194</v>
      </c>
      <c r="P241" s="793" t="s">
        <v>194</v>
      </c>
      <c r="Q241" s="772">
        <f>G241</f>
        <v>185000000</v>
      </c>
      <c r="R241" s="772">
        <f>Q241/VLOOKUP(H241, 'Currency Conversion'!B:C, 2, 0)</f>
        <v>185000000</v>
      </c>
      <c r="S241" s="749" t="s">
        <v>194</v>
      </c>
      <c r="T241" s="757" t="s">
        <v>325</v>
      </c>
      <c r="U241" s="201" t="s">
        <v>843</v>
      </c>
      <c r="V241" s="756" t="s">
        <v>844</v>
      </c>
      <c r="W241" s="783" t="s">
        <v>194</v>
      </c>
      <c r="X241" s="766" t="s">
        <v>194</v>
      </c>
      <c r="Y241" s="759">
        <v>0</v>
      </c>
      <c r="Z241" s="759">
        <v>0</v>
      </c>
      <c r="AA241" s="799" t="s">
        <v>194</v>
      </c>
      <c r="AB241" s="775"/>
      <c r="AC241" s="775"/>
      <c r="AD241" s="775"/>
      <c r="AE241" s="775"/>
      <c r="AF241" s="775"/>
      <c r="AG241" s="775"/>
      <c r="AH241" s="775"/>
      <c r="AI241" s="775"/>
      <c r="AJ241" s="775"/>
      <c r="AK241" s="775"/>
      <c r="AL241" s="775"/>
      <c r="AM241" s="775"/>
      <c r="AN241" s="775"/>
      <c r="AO241" s="775"/>
      <c r="AP241" s="775"/>
    </row>
    <row r="242" spans="1:42" s="141" customFormat="1" ht="150" customHeight="1">
      <c r="A242" s="784" t="s">
        <v>845</v>
      </c>
      <c r="B242" s="784" t="s">
        <v>840</v>
      </c>
      <c r="C242" s="776">
        <v>44660</v>
      </c>
      <c r="D242" s="784" t="s">
        <v>190</v>
      </c>
      <c r="E242" s="784" t="s">
        <v>191</v>
      </c>
      <c r="F242" s="773" t="s">
        <v>846</v>
      </c>
      <c r="G242" s="772">
        <v>370000000</v>
      </c>
      <c r="H242" s="757" t="s">
        <v>278</v>
      </c>
      <c r="I242" s="772" t="s">
        <v>194</v>
      </c>
      <c r="J242" s="658" t="str">
        <f>VLOOKUP($I242,Prices!A:B,2,0)</f>
        <v>.</v>
      </c>
      <c r="K242" s="790" t="s">
        <v>194</v>
      </c>
      <c r="L242" s="788" t="s">
        <v>194</v>
      </c>
      <c r="M242" s="788" t="s">
        <v>194</v>
      </c>
      <c r="N242" s="647" t="str">
        <f>VLOOKUP($I242,Prices!A:D,4,0)</f>
        <v>.</v>
      </c>
      <c r="O242" s="772" t="s">
        <v>194</v>
      </c>
      <c r="P242" s="793" t="s">
        <v>194</v>
      </c>
      <c r="Q242" s="772">
        <f>G242</f>
        <v>370000000</v>
      </c>
      <c r="R242" s="772">
        <f>Q242/VLOOKUP(H242, 'Currency Conversion'!B:C, 2, 0)</f>
        <v>370000000</v>
      </c>
      <c r="S242" s="749" t="s">
        <v>194</v>
      </c>
      <c r="T242" s="757" t="s">
        <v>240</v>
      </c>
      <c r="U242" s="756" t="s">
        <v>847</v>
      </c>
      <c r="V242" s="773" t="s">
        <v>194</v>
      </c>
      <c r="W242" s="783" t="s">
        <v>194</v>
      </c>
      <c r="X242" s="766" t="s">
        <v>194</v>
      </c>
      <c r="Y242" s="759">
        <v>0</v>
      </c>
      <c r="Z242" s="759">
        <v>0</v>
      </c>
      <c r="AA242" s="799" t="s">
        <v>194</v>
      </c>
      <c r="AB242" s="775"/>
      <c r="AC242" s="775"/>
      <c r="AD242" s="775"/>
      <c r="AE242" s="775"/>
      <c r="AF242" s="775"/>
      <c r="AG242" s="775"/>
      <c r="AH242" s="775"/>
      <c r="AI242" s="775"/>
      <c r="AJ242" s="775"/>
      <c r="AK242" s="775"/>
      <c r="AL242" s="775"/>
      <c r="AM242" s="775"/>
      <c r="AN242" s="775"/>
      <c r="AO242" s="775"/>
      <c r="AP242" s="775"/>
    </row>
    <row r="243" spans="1:42" s="141" customFormat="1" ht="115.5" customHeight="1">
      <c r="A243" s="766" t="s">
        <v>848</v>
      </c>
      <c r="B243" s="766" t="s">
        <v>840</v>
      </c>
      <c r="C243" s="776">
        <v>44660</v>
      </c>
      <c r="D243" s="766" t="s">
        <v>190</v>
      </c>
      <c r="E243" s="766" t="s">
        <v>191</v>
      </c>
      <c r="F243" s="765" t="s">
        <v>849</v>
      </c>
      <c r="G243" s="778">
        <v>70000000</v>
      </c>
      <c r="H243" s="759" t="s">
        <v>278</v>
      </c>
      <c r="I243" s="811" t="s">
        <v>194</v>
      </c>
      <c r="J243" s="658" t="str">
        <f>VLOOKUP($I243,Prices!A:B,2,0)</f>
        <v>.</v>
      </c>
      <c r="K243" s="790" t="s">
        <v>194</v>
      </c>
      <c r="L243" s="676" t="s">
        <v>194</v>
      </c>
      <c r="M243" s="788" t="s">
        <v>194</v>
      </c>
      <c r="N243" s="708" t="str">
        <f>VLOOKUP($I243,Prices!A:D,4,0)</f>
        <v>.</v>
      </c>
      <c r="O243" s="772" t="s">
        <v>194</v>
      </c>
      <c r="P243" s="793" t="s">
        <v>194</v>
      </c>
      <c r="Q243" s="778">
        <f>G243</f>
        <v>70000000</v>
      </c>
      <c r="R243" s="772">
        <f>Q243/VLOOKUP(H243, 'Currency Conversion'!B:C, 2, 0)</f>
        <v>70000000</v>
      </c>
      <c r="S243" s="749" t="s">
        <v>194</v>
      </c>
      <c r="T243" s="759" t="s">
        <v>240</v>
      </c>
      <c r="U243" s="756" t="s">
        <v>847</v>
      </c>
      <c r="V243" s="756" t="s">
        <v>309</v>
      </c>
      <c r="W243" s="783" t="s">
        <v>194</v>
      </c>
      <c r="X243" s="766" t="s">
        <v>194</v>
      </c>
      <c r="Y243" s="759">
        <v>0</v>
      </c>
      <c r="Z243" s="759">
        <v>0</v>
      </c>
      <c r="AA243" s="799" t="s">
        <v>194</v>
      </c>
      <c r="AB243" s="766"/>
      <c r="AC243" s="766"/>
      <c r="AD243" s="775"/>
      <c r="AE243" s="775"/>
      <c r="AF243" s="775"/>
      <c r="AG243" s="775"/>
      <c r="AH243" s="775"/>
      <c r="AI243" s="775"/>
      <c r="AJ243" s="775"/>
      <c r="AK243" s="775"/>
      <c r="AL243" s="775"/>
      <c r="AM243" s="775"/>
      <c r="AN243" s="775"/>
      <c r="AO243" s="775"/>
      <c r="AP243" s="775"/>
    </row>
    <row r="244" spans="1:42" s="141" customFormat="1" ht="105" customHeight="1">
      <c r="A244" s="766" t="s">
        <v>850</v>
      </c>
      <c r="B244" s="766" t="s">
        <v>840</v>
      </c>
      <c r="C244" s="776">
        <v>44686</v>
      </c>
      <c r="D244" s="766" t="s">
        <v>190</v>
      </c>
      <c r="E244" s="766" t="s">
        <v>191</v>
      </c>
      <c r="F244" s="765" t="s">
        <v>851</v>
      </c>
      <c r="G244" s="778">
        <v>125000000</v>
      </c>
      <c r="H244" s="759" t="s">
        <v>278</v>
      </c>
      <c r="I244" s="811" t="s">
        <v>194</v>
      </c>
      <c r="J244" s="658" t="str">
        <f>VLOOKUP($I244,Prices!A:B,2,0)</f>
        <v>.</v>
      </c>
      <c r="K244" s="790" t="s">
        <v>194</v>
      </c>
      <c r="L244" s="676" t="s">
        <v>194</v>
      </c>
      <c r="M244" s="788" t="s">
        <v>194</v>
      </c>
      <c r="N244" s="647" t="str">
        <f>VLOOKUP($I244,Prices!A:D,4,0)</f>
        <v>.</v>
      </c>
      <c r="O244" s="772" t="s">
        <v>194</v>
      </c>
      <c r="P244" s="793" t="s">
        <v>194</v>
      </c>
      <c r="Q244" s="772">
        <f>G244</f>
        <v>125000000</v>
      </c>
      <c r="R244" s="772">
        <f>Q244/VLOOKUP(H244, 'Currency Conversion'!B:C, 2, 0)</f>
        <v>125000000</v>
      </c>
      <c r="S244" s="749" t="s">
        <v>194</v>
      </c>
      <c r="T244" s="759" t="s">
        <v>325</v>
      </c>
      <c r="U244" s="756" t="s">
        <v>852</v>
      </c>
      <c r="V244" s="783" t="s">
        <v>194</v>
      </c>
      <c r="W244" s="783" t="s">
        <v>194</v>
      </c>
      <c r="X244" s="766" t="s">
        <v>194</v>
      </c>
      <c r="Y244" s="759">
        <v>0</v>
      </c>
      <c r="Z244" s="759">
        <v>0</v>
      </c>
      <c r="AA244" s="799" t="s">
        <v>194</v>
      </c>
      <c r="AB244" s="766"/>
      <c r="AC244" s="766"/>
      <c r="AD244" s="775"/>
      <c r="AE244" s="775"/>
      <c r="AF244" s="775"/>
      <c r="AG244" s="775"/>
      <c r="AH244" s="775"/>
      <c r="AI244" s="775"/>
      <c r="AJ244" s="775"/>
      <c r="AK244" s="775"/>
      <c r="AL244" s="775"/>
      <c r="AM244" s="775"/>
      <c r="AN244" s="775"/>
      <c r="AO244" s="775"/>
      <c r="AP244" s="775"/>
    </row>
    <row r="245" spans="1:42" s="141" customFormat="1" ht="25.5" customHeight="1">
      <c r="A245" s="848" t="s">
        <v>853</v>
      </c>
      <c r="B245" s="848" t="s">
        <v>840</v>
      </c>
      <c r="C245" s="876">
        <v>44743</v>
      </c>
      <c r="D245" s="848" t="s">
        <v>212</v>
      </c>
      <c r="E245" s="848" t="s">
        <v>213</v>
      </c>
      <c r="F245" s="859" t="s">
        <v>854</v>
      </c>
      <c r="G245" s="851" t="s">
        <v>201</v>
      </c>
      <c r="H245" s="857" t="s">
        <v>260</v>
      </c>
      <c r="I245" s="547" t="s">
        <v>644</v>
      </c>
      <c r="J245" s="658">
        <f>VLOOKUP($I245,Prices!A:B,2,0)</f>
        <v>3</v>
      </c>
      <c r="K245" s="790">
        <f>VLOOKUP(I245,Prices!A:C,3,0)</f>
        <v>0</v>
      </c>
      <c r="L245" s="640">
        <v>500</v>
      </c>
      <c r="M245" s="640">
        <v>500</v>
      </c>
      <c r="N245" s="640">
        <f>VLOOKUP($I245,Prices!A:D,4,0)</f>
        <v>119000</v>
      </c>
      <c r="O245" s="772">
        <f>L245*N245</f>
        <v>59500000</v>
      </c>
      <c r="P245" s="793">
        <f t="shared" si="20"/>
        <v>59500000</v>
      </c>
      <c r="Q245" s="851">
        <f>SUM(O245:O295)</f>
        <v>252942684.40000001</v>
      </c>
      <c r="R245" s="851">
        <f>Q245/VLOOKUP("USD",'Currency Conversion'!B:C,2,0)</f>
        <v>239529057.19696969</v>
      </c>
      <c r="S245" s="853">
        <f>R245</f>
        <v>239529057.19696969</v>
      </c>
      <c r="T245" s="852" t="s">
        <v>195</v>
      </c>
      <c r="U245" s="854" t="s">
        <v>855</v>
      </c>
      <c r="V245" s="854" t="s">
        <v>856</v>
      </c>
      <c r="W245" s="854" t="s">
        <v>857</v>
      </c>
      <c r="X245" s="903" t="s">
        <v>858</v>
      </c>
      <c r="Y245" s="852">
        <v>0</v>
      </c>
      <c r="Z245" s="852">
        <v>1</v>
      </c>
      <c r="AA245" s="909" t="s">
        <v>858</v>
      </c>
      <c r="AB245" s="820" t="s">
        <v>21</v>
      </c>
      <c r="AC245" s="820" t="s">
        <v>21</v>
      </c>
      <c r="AD245" s="820" t="s">
        <v>21</v>
      </c>
      <c r="AE245" s="820" t="s">
        <v>21</v>
      </c>
      <c r="AF245" s="820" t="s">
        <v>21</v>
      </c>
      <c r="AG245" s="820" t="s">
        <v>21</v>
      </c>
      <c r="AH245" s="820" t="s">
        <v>21</v>
      </c>
      <c r="AI245" s="820" t="s">
        <v>21</v>
      </c>
      <c r="AJ245" s="820" t="s">
        <v>21</v>
      </c>
      <c r="AK245" s="820" t="s">
        <v>21</v>
      </c>
      <c r="AL245" s="820" t="s">
        <v>21</v>
      </c>
      <c r="AM245" s="820" t="s">
        <v>21</v>
      </c>
      <c r="AN245" s="820" t="s">
        <v>21</v>
      </c>
      <c r="AO245" s="820" t="s">
        <v>21</v>
      </c>
      <c r="AP245" s="775"/>
    </row>
    <row r="246" spans="1:42" s="141" customFormat="1" ht="15" customHeight="1">
      <c r="A246" s="848"/>
      <c r="B246" s="848"/>
      <c r="C246" s="861"/>
      <c r="D246" s="848"/>
      <c r="E246" s="848"/>
      <c r="F246" s="859"/>
      <c r="G246" s="851"/>
      <c r="H246" s="857"/>
      <c r="I246" s="547" t="s">
        <v>859</v>
      </c>
      <c r="J246" s="658">
        <f>VLOOKUP($I246,Prices!A:B,2,0)</f>
        <v>3.5</v>
      </c>
      <c r="K246" s="790">
        <f>VLOOKUP(I246,Prices!A:C,3,0)</f>
        <v>1</v>
      </c>
      <c r="L246" s="640">
        <v>2700</v>
      </c>
      <c r="M246" s="640">
        <v>27</v>
      </c>
      <c r="N246" s="640">
        <f>VLOOKUP($I246,Prices!A:D,4,0)</f>
        <v>22700</v>
      </c>
      <c r="O246" s="772">
        <f t="shared" ref="O246:O273" si="21">L246*N246</f>
        <v>61290000</v>
      </c>
      <c r="P246" s="793">
        <f t="shared" si="20"/>
        <v>612900</v>
      </c>
      <c r="Q246" s="851"/>
      <c r="R246" s="851"/>
      <c r="S246" s="853"/>
      <c r="T246" s="852"/>
      <c r="U246" s="855"/>
      <c r="V246" s="855"/>
      <c r="W246" s="855"/>
      <c r="X246" s="904"/>
      <c r="Y246" s="852"/>
      <c r="Z246" s="852"/>
      <c r="AA246" s="910"/>
      <c r="AB246" s="820" t="s">
        <v>21</v>
      </c>
      <c r="AC246" s="820" t="s">
        <v>21</v>
      </c>
      <c r="AD246" s="820" t="s">
        <v>21</v>
      </c>
      <c r="AE246" s="820" t="s">
        <v>21</v>
      </c>
      <c r="AF246" s="820" t="s">
        <v>21</v>
      </c>
      <c r="AG246" s="820" t="s">
        <v>21</v>
      </c>
      <c r="AH246" s="820" t="s">
        <v>21</v>
      </c>
      <c r="AI246" s="820" t="s">
        <v>21</v>
      </c>
      <c r="AJ246" s="820" t="s">
        <v>21</v>
      </c>
      <c r="AK246" s="820" t="s">
        <v>21</v>
      </c>
      <c r="AL246" s="820" t="s">
        <v>21</v>
      </c>
      <c r="AM246" s="820" t="s">
        <v>21</v>
      </c>
      <c r="AN246" s="820" t="s">
        <v>21</v>
      </c>
      <c r="AO246" s="820" t="s">
        <v>21</v>
      </c>
      <c r="AP246" s="775"/>
    </row>
    <row r="247" spans="1:42" s="141" customFormat="1" ht="15" customHeight="1">
      <c r="A247" s="848"/>
      <c r="B247" s="848"/>
      <c r="C247" s="861"/>
      <c r="D247" s="848"/>
      <c r="E247" s="848"/>
      <c r="F247" s="859"/>
      <c r="G247" s="851"/>
      <c r="H247" s="857"/>
      <c r="I247" s="547" t="s">
        <v>860</v>
      </c>
      <c r="J247" s="658">
        <f>VLOOKUP($I247,Prices!A:B,2,0)</f>
        <v>3</v>
      </c>
      <c r="K247" s="790">
        <f>VLOOKUP(I247,Prices!A:C,3,0)</f>
        <v>0</v>
      </c>
      <c r="L247" s="640">
        <v>900</v>
      </c>
      <c r="M247" s="640">
        <v>900</v>
      </c>
      <c r="N247" s="640">
        <f>VLOOKUP($I247,Prices!A:D,4,0)</f>
        <v>10000</v>
      </c>
      <c r="O247" s="772">
        <f t="shared" si="21"/>
        <v>9000000</v>
      </c>
      <c r="P247" s="793">
        <f t="shared" si="20"/>
        <v>9000000</v>
      </c>
      <c r="Q247" s="851"/>
      <c r="R247" s="851"/>
      <c r="S247" s="853"/>
      <c r="T247" s="852"/>
      <c r="U247" s="855"/>
      <c r="V247" s="855"/>
      <c r="W247" s="855"/>
      <c r="X247" s="904"/>
      <c r="Y247" s="852"/>
      <c r="Z247" s="852"/>
      <c r="AA247" s="910"/>
      <c r="AB247" s="820" t="s">
        <v>21</v>
      </c>
      <c r="AC247" s="820" t="s">
        <v>21</v>
      </c>
      <c r="AD247" s="820" t="s">
        <v>21</v>
      </c>
      <c r="AE247" s="820" t="s">
        <v>21</v>
      </c>
      <c r="AF247" s="820" t="s">
        <v>21</v>
      </c>
      <c r="AG247" s="820" t="s">
        <v>21</v>
      </c>
      <c r="AH247" s="820" t="s">
        <v>21</v>
      </c>
      <c r="AI247" s="820" t="s">
        <v>21</v>
      </c>
      <c r="AJ247" s="820" t="s">
        <v>21</v>
      </c>
      <c r="AK247" s="820" t="s">
        <v>21</v>
      </c>
      <c r="AL247" s="820" t="s">
        <v>21</v>
      </c>
      <c r="AM247" s="820" t="s">
        <v>21</v>
      </c>
      <c r="AN247" s="820" t="s">
        <v>21</v>
      </c>
      <c r="AO247" s="820" t="s">
        <v>21</v>
      </c>
      <c r="AP247" s="775"/>
    </row>
    <row r="248" spans="1:42" s="141" customFormat="1" ht="15" customHeight="1">
      <c r="A248" s="848"/>
      <c r="B248" s="848"/>
      <c r="C248" s="861"/>
      <c r="D248" s="848"/>
      <c r="E248" s="848"/>
      <c r="F248" s="859"/>
      <c r="G248" s="851"/>
      <c r="H248" s="857"/>
      <c r="I248" s="547" t="s">
        <v>861</v>
      </c>
      <c r="J248" s="658">
        <f>VLOOKUP($I248,Prices!A:B,2,0)</f>
        <v>3.5</v>
      </c>
      <c r="K248" s="790">
        <f>VLOOKUP(I248,Prices!A:C,3,0)</f>
        <v>0</v>
      </c>
      <c r="L248" s="640">
        <v>3000</v>
      </c>
      <c r="M248" s="640">
        <v>3</v>
      </c>
      <c r="N248" s="640">
        <f>VLOOKUP($I248,Prices!A:D,4,0)</f>
        <v>250</v>
      </c>
      <c r="O248" s="772"/>
      <c r="P248" s="793" t="s">
        <v>194</v>
      </c>
      <c r="Q248" s="851"/>
      <c r="R248" s="851"/>
      <c r="S248" s="853"/>
      <c r="T248" s="852"/>
      <c r="U248" s="855"/>
      <c r="V248" s="855"/>
      <c r="W248" s="855"/>
      <c r="X248" s="904"/>
      <c r="Y248" s="852"/>
      <c r="Z248" s="852"/>
      <c r="AA248" s="910"/>
      <c r="AB248" s="820" t="s">
        <v>21</v>
      </c>
      <c r="AC248" s="820" t="s">
        <v>21</v>
      </c>
      <c r="AD248" s="820" t="s">
        <v>21</v>
      </c>
      <c r="AE248" s="820" t="s">
        <v>21</v>
      </c>
      <c r="AF248" s="820" t="s">
        <v>21</v>
      </c>
      <c r="AG248" s="820" t="s">
        <v>21</v>
      </c>
      <c r="AH248" s="820" t="s">
        <v>21</v>
      </c>
      <c r="AI248" s="820" t="s">
        <v>21</v>
      </c>
      <c r="AJ248" s="820" t="s">
        <v>21</v>
      </c>
      <c r="AK248" s="820" t="s">
        <v>21</v>
      </c>
      <c r="AL248" s="820" t="s">
        <v>21</v>
      </c>
      <c r="AM248" s="820" t="s">
        <v>21</v>
      </c>
      <c r="AN248" s="820" t="s">
        <v>21</v>
      </c>
      <c r="AO248" s="820" t="s">
        <v>21</v>
      </c>
      <c r="AP248" s="775"/>
    </row>
    <row r="249" spans="1:42" s="141" customFormat="1" ht="15" customHeight="1">
      <c r="A249" s="848"/>
      <c r="B249" s="848"/>
      <c r="C249" s="861"/>
      <c r="D249" s="848"/>
      <c r="E249" s="848"/>
      <c r="F249" s="859"/>
      <c r="G249" s="851"/>
      <c r="H249" s="857"/>
      <c r="I249" s="547" t="s">
        <v>862</v>
      </c>
      <c r="J249" s="658">
        <f>VLOOKUP($I249,Prices!A:B,2,0)</f>
        <v>2</v>
      </c>
      <c r="K249" s="790">
        <f>VLOOKUP(I249,Prices!A:C,3,0)</f>
        <v>0</v>
      </c>
      <c r="L249" s="640">
        <v>100</v>
      </c>
      <c r="M249" s="640">
        <v>100</v>
      </c>
      <c r="N249" s="640">
        <f>VLOOKUP($I249,Prices!A:D,4,0)</f>
        <v>3000</v>
      </c>
      <c r="O249" s="772">
        <f t="shared" si="21"/>
        <v>300000</v>
      </c>
      <c r="P249" s="793">
        <f t="shared" si="20"/>
        <v>300000</v>
      </c>
      <c r="Q249" s="851"/>
      <c r="R249" s="851"/>
      <c r="S249" s="853"/>
      <c r="T249" s="852"/>
      <c r="U249" s="855"/>
      <c r="V249" s="855"/>
      <c r="W249" s="855"/>
      <c r="X249" s="904"/>
      <c r="Y249" s="852"/>
      <c r="Z249" s="852"/>
      <c r="AA249" s="910"/>
      <c r="AB249" s="820" t="s">
        <v>21</v>
      </c>
      <c r="AC249" s="820" t="s">
        <v>21</v>
      </c>
      <c r="AD249" s="820" t="s">
        <v>21</v>
      </c>
      <c r="AE249" s="820" t="s">
        <v>21</v>
      </c>
      <c r="AF249" s="820" t="s">
        <v>21</v>
      </c>
      <c r="AG249" s="820" t="s">
        <v>21</v>
      </c>
      <c r="AH249" s="820" t="s">
        <v>21</v>
      </c>
      <c r="AI249" s="820" t="s">
        <v>21</v>
      </c>
      <c r="AJ249" s="820" t="s">
        <v>21</v>
      </c>
      <c r="AK249" s="820" t="s">
        <v>21</v>
      </c>
      <c r="AL249" s="820" t="s">
        <v>21</v>
      </c>
      <c r="AM249" s="820" t="s">
        <v>21</v>
      </c>
      <c r="AN249" s="820" t="s">
        <v>21</v>
      </c>
      <c r="AO249" s="820" t="s">
        <v>21</v>
      </c>
      <c r="AP249" s="775"/>
    </row>
    <row r="250" spans="1:42" s="141" customFormat="1" ht="15" customHeight="1">
      <c r="A250" s="848"/>
      <c r="B250" s="848"/>
      <c r="C250" s="861"/>
      <c r="D250" s="848"/>
      <c r="E250" s="848"/>
      <c r="F250" s="859"/>
      <c r="G250" s="851"/>
      <c r="H250" s="857"/>
      <c r="I250" s="547" t="s">
        <v>863</v>
      </c>
      <c r="J250" s="658">
        <f>VLOOKUP($I250,Prices!A:B,2,0)</f>
        <v>2.5</v>
      </c>
      <c r="K250" s="790">
        <f>VLOOKUP(I250,Prices!A:C,3,0)</f>
        <v>0</v>
      </c>
      <c r="L250" s="640">
        <v>8000000</v>
      </c>
      <c r="M250" s="640">
        <v>8000000</v>
      </c>
      <c r="N250" s="640" t="str">
        <f>VLOOKUP($I250,Prices!A:D,4,0)</f>
        <v>0,79</v>
      </c>
      <c r="O250" s="772"/>
      <c r="P250" s="793" t="s">
        <v>194</v>
      </c>
      <c r="Q250" s="851"/>
      <c r="R250" s="851"/>
      <c r="S250" s="853"/>
      <c r="T250" s="852"/>
      <c r="U250" s="855"/>
      <c r="V250" s="855"/>
      <c r="W250" s="855"/>
      <c r="X250" s="904"/>
      <c r="Y250" s="852"/>
      <c r="Z250" s="852"/>
      <c r="AA250" s="910"/>
      <c r="AB250" s="820" t="s">
        <v>21</v>
      </c>
      <c r="AC250" s="820" t="s">
        <v>21</v>
      </c>
      <c r="AD250" s="820" t="s">
        <v>21</v>
      </c>
      <c r="AE250" s="820" t="s">
        <v>21</v>
      </c>
      <c r="AF250" s="820" t="s">
        <v>21</v>
      </c>
      <c r="AG250" s="820" t="s">
        <v>21</v>
      </c>
      <c r="AH250" s="820" t="s">
        <v>21</v>
      </c>
      <c r="AI250" s="820" t="s">
        <v>21</v>
      </c>
      <c r="AJ250" s="820" t="s">
        <v>21</v>
      </c>
      <c r="AK250" s="820" t="s">
        <v>21</v>
      </c>
      <c r="AL250" s="820" t="s">
        <v>21</v>
      </c>
      <c r="AM250" s="820" t="s">
        <v>21</v>
      </c>
      <c r="AN250" s="820" t="s">
        <v>21</v>
      </c>
      <c r="AO250" s="820" t="s">
        <v>21</v>
      </c>
      <c r="AP250" s="775"/>
    </row>
    <row r="251" spans="1:42" s="141" customFormat="1" ht="15" customHeight="1">
      <c r="A251" s="848"/>
      <c r="B251" s="848"/>
      <c r="C251" s="861"/>
      <c r="D251" s="848"/>
      <c r="E251" s="848"/>
      <c r="F251" s="859"/>
      <c r="G251" s="851"/>
      <c r="H251" s="857"/>
      <c r="I251" s="547" t="s">
        <v>864</v>
      </c>
      <c r="J251" s="658">
        <f>VLOOKUP($I251,Prices!A:B,2,0)</f>
        <v>2</v>
      </c>
      <c r="K251" s="790">
        <f>VLOOKUP(I251,Prices!A:C,3,0)</f>
        <v>0</v>
      </c>
      <c r="L251" s="640">
        <v>8000000</v>
      </c>
      <c r="M251" s="640">
        <v>8000000</v>
      </c>
      <c r="N251" s="640">
        <f>VLOOKUP($I251,Prices!A:D,4,0)</f>
        <v>0.85</v>
      </c>
      <c r="O251" s="772"/>
      <c r="P251" s="793" t="s">
        <v>194</v>
      </c>
      <c r="Q251" s="851"/>
      <c r="R251" s="851"/>
      <c r="S251" s="853"/>
      <c r="T251" s="852"/>
      <c r="U251" s="855"/>
      <c r="V251" s="855"/>
      <c r="W251" s="855"/>
      <c r="X251" s="904"/>
      <c r="Y251" s="852"/>
      <c r="Z251" s="852"/>
      <c r="AA251" s="910"/>
      <c r="AB251" s="820" t="s">
        <v>21</v>
      </c>
      <c r="AC251" s="820" t="s">
        <v>21</v>
      </c>
      <c r="AD251" s="820" t="s">
        <v>21</v>
      </c>
      <c r="AE251" s="820" t="s">
        <v>21</v>
      </c>
      <c r="AF251" s="820" t="s">
        <v>21</v>
      </c>
      <c r="AG251" s="820" t="s">
        <v>21</v>
      </c>
      <c r="AH251" s="820" t="s">
        <v>21</v>
      </c>
      <c r="AI251" s="820" t="s">
        <v>21</v>
      </c>
      <c r="AJ251" s="820" t="s">
        <v>21</v>
      </c>
      <c r="AK251" s="820" t="s">
        <v>21</v>
      </c>
      <c r="AL251" s="820" t="s">
        <v>21</v>
      </c>
      <c r="AM251" s="820" t="s">
        <v>21</v>
      </c>
      <c r="AN251" s="820" t="s">
        <v>21</v>
      </c>
      <c r="AO251" s="820" t="s">
        <v>21</v>
      </c>
      <c r="AP251" s="775"/>
    </row>
    <row r="252" spans="1:42" s="141" customFormat="1" ht="15" customHeight="1">
      <c r="A252" s="848"/>
      <c r="B252" s="848"/>
      <c r="C252" s="861"/>
      <c r="D252" s="848"/>
      <c r="E252" s="848"/>
      <c r="F252" s="859"/>
      <c r="G252" s="851"/>
      <c r="H252" s="857"/>
      <c r="I252" s="547" t="s">
        <v>865</v>
      </c>
      <c r="J252" s="658">
        <f>VLOOKUP($I252,Prices!A:B,2,0)</f>
        <v>2.5</v>
      </c>
      <c r="K252" s="790">
        <f>VLOOKUP(I252,Prices!A:C,3,0)</f>
        <v>0</v>
      </c>
      <c r="L252" s="640">
        <v>5700000</v>
      </c>
      <c r="M252" s="640">
        <v>5700000</v>
      </c>
      <c r="N252" s="640">
        <f>VLOOKUP($I252,Prices!A:D,4,0)</f>
        <v>0.85</v>
      </c>
      <c r="O252" s="772"/>
      <c r="P252" s="793" t="s">
        <v>194</v>
      </c>
      <c r="Q252" s="851"/>
      <c r="R252" s="851"/>
      <c r="S252" s="853"/>
      <c r="T252" s="852"/>
      <c r="U252" s="855"/>
      <c r="V252" s="855"/>
      <c r="W252" s="855"/>
      <c r="X252" s="904"/>
      <c r="Y252" s="852"/>
      <c r="Z252" s="852"/>
      <c r="AA252" s="910"/>
      <c r="AB252" s="820" t="s">
        <v>21</v>
      </c>
      <c r="AC252" s="820" t="s">
        <v>21</v>
      </c>
      <c r="AD252" s="820" t="s">
        <v>21</v>
      </c>
      <c r="AE252" s="820" t="s">
        <v>21</v>
      </c>
      <c r="AF252" s="820" t="s">
        <v>21</v>
      </c>
      <c r="AG252" s="820" t="s">
        <v>21</v>
      </c>
      <c r="AH252" s="820" t="s">
        <v>21</v>
      </c>
      <c r="AI252" s="820" t="s">
        <v>21</v>
      </c>
      <c r="AJ252" s="820" t="s">
        <v>21</v>
      </c>
      <c r="AK252" s="820" t="s">
        <v>21</v>
      </c>
      <c r="AL252" s="820" t="s">
        <v>21</v>
      </c>
      <c r="AM252" s="820" t="s">
        <v>21</v>
      </c>
      <c r="AN252" s="820" t="s">
        <v>21</v>
      </c>
      <c r="AO252" s="820" t="s">
        <v>21</v>
      </c>
      <c r="AP252" s="775"/>
    </row>
    <row r="253" spans="1:42" s="141" customFormat="1" ht="15" customHeight="1">
      <c r="A253" s="848"/>
      <c r="B253" s="848"/>
      <c r="C253" s="861"/>
      <c r="D253" s="848"/>
      <c r="E253" s="848"/>
      <c r="F253" s="859"/>
      <c r="G253" s="851"/>
      <c r="H253" s="857"/>
      <c r="I253" s="547" t="s">
        <v>866</v>
      </c>
      <c r="J253" s="658">
        <f>VLOOKUP($I253,Prices!A:B,2,0)</f>
        <v>4.5</v>
      </c>
      <c r="K253" s="790">
        <f>VLOOKUP(I253,Prices!A:C,3,0)</f>
        <v>0</v>
      </c>
      <c r="L253" s="640">
        <v>10500</v>
      </c>
      <c r="M253" s="640">
        <v>105</v>
      </c>
      <c r="N253" s="640">
        <f>VLOOKUP($I253,Prices!A:D,4,0)</f>
        <v>2000</v>
      </c>
      <c r="O253" s="772">
        <f t="shared" si="21"/>
        <v>21000000</v>
      </c>
      <c r="P253" s="793">
        <f t="shared" si="20"/>
        <v>210000</v>
      </c>
      <c r="Q253" s="851"/>
      <c r="R253" s="851"/>
      <c r="S253" s="853"/>
      <c r="T253" s="852"/>
      <c r="U253" s="855"/>
      <c r="V253" s="855"/>
      <c r="W253" s="855"/>
      <c r="X253" s="904"/>
      <c r="Y253" s="852"/>
      <c r="Z253" s="852"/>
      <c r="AA253" s="910"/>
      <c r="AB253" s="820" t="s">
        <v>21</v>
      </c>
      <c r="AC253" s="820" t="s">
        <v>21</v>
      </c>
      <c r="AD253" s="820" t="s">
        <v>21</v>
      </c>
      <c r="AE253" s="820" t="s">
        <v>21</v>
      </c>
      <c r="AF253" s="820" t="s">
        <v>21</v>
      </c>
      <c r="AG253" s="820" t="s">
        <v>21</v>
      </c>
      <c r="AH253" s="820" t="s">
        <v>21</v>
      </c>
      <c r="AI253" s="820" t="s">
        <v>21</v>
      </c>
      <c r="AJ253" s="820" t="s">
        <v>21</v>
      </c>
      <c r="AK253" s="820" t="s">
        <v>21</v>
      </c>
      <c r="AL253" s="820" t="s">
        <v>21</v>
      </c>
      <c r="AM253" s="820" t="s">
        <v>21</v>
      </c>
      <c r="AN253" s="820" t="s">
        <v>21</v>
      </c>
      <c r="AO253" s="820" t="s">
        <v>21</v>
      </c>
      <c r="AP253" s="775"/>
    </row>
    <row r="254" spans="1:42" s="141" customFormat="1" ht="15" customHeight="1">
      <c r="A254" s="848"/>
      <c r="B254" s="848"/>
      <c r="C254" s="861"/>
      <c r="D254" s="848"/>
      <c r="E254" s="848"/>
      <c r="F254" s="859"/>
      <c r="G254" s="851"/>
      <c r="H254" s="857"/>
      <c r="I254" s="547" t="s">
        <v>867</v>
      </c>
      <c r="J254" s="658">
        <f>VLOOKUP($I254,Prices!A:B,2,0)</f>
        <v>3</v>
      </c>
      <c r="K254" s="790">
        <f>VLOOKUP(I254,Prices!A:C,3,0)</f>
        <v>0</v>
      </c>
      <c r="L254" s="640">
        <v>50</v>
      </c>
      <c r="M254" s="640">
        <v>50</v>
      </c>
      <c r="N254" s="640">
        <f>VLOOKUP($I254,Prices!A:D,4,0)</f>
        <v>10000</v>
      </c>
      <c r="O254" s="772">
        <f t="shared" si="21"/>
        <v>500000</v>
      </c>
      <c r="P254" s="793">
        <f t="shared" si="20"/>
        <v>500000</v>
      </c>
      <c r="Q254" s="851"/>
      <c r="R254" s="851"/>
      <c r="S254" s="853"/>
      <c r="T254" s="852"/>
      <c r="U254" s="855"/>
      <c r="V254" s="855"/>
      <c r="W254" s="855"/>
      <c r="X254" s="904"/>
      <c r="Y254" s="852"/>
      <c r="Z254" s="852"/>
      <c r="AA254" s="910"/>
      <c r="AB254" s="820" t="s">
        <v>21</v>
      </c>
      <c r="AC254" s="820" t="s">
        <v>21</v>
      </c>
      <c r="AD254" s="820" t="s">
        <v>21</v>
      </c>
      <c r="AE254" s="820" t="s">
        <v>21</v>
      </c>
      <c r="AF254" s="820" t="s">
        <v>21</v>
      </c>
      <c r="AG254" s="820" t="s">
        <v>21</v>
      </c>
      <c r="AH254" s="820" t="s">
        <v>21</v>
      </c>
      <c r="AI254" s="820" t="s">
        <v>21</v>
      </c>
      <c r="AJ254" s="820" t="s">
        <v>21</v>
      </c>
      <c r="AK254" s="820" t="s">
        <v>21</v>
      </c>
      <c r="AL254" s="820" t="s">
        <v>21</v>
      </c>
      <c r="AM254" s="820" t="s">
        <v>21</v>
      </c>
      <c r="AN254" s="820" t="s">
        <v>21</v>
      </c>
      <c r="AO254" s="820" t="s">
        <v>21</v>
      </c>
      <c r="AP254" s="775"/>
    </row>
    <row r="255" spans="1:42" s="141" customFormat="1" ht="15" customHeight="1">
      <c r="A255" s="848"/>
      <c r="B255" s="848"/>
      <c r="C255" s="861"/>
      <c r="D255" s="848"/>
      <c r="E255" s="848"/>
      <c r="F255" s="859"/>
      <c r="G255" s="851"/>
      <c r="H255" s="857"/>
      <c r="I255" s="547" t="s">
        <v>416</v>
      </c>
      <c r="J255" s="658">
        <f>VLOOKUP($I255,Prices!A:B,2,0)</f>
        <v>2</v>
      </c>
      <c r="K255" s="790">
        <f>VLOOKUP(I255,Prices!A:C,3,0)</f>
        <v>0</v>
      </c>
      <c r="L255" s="640">
        <v>100000</v>
      </c>
      <c r="M255" s="640">
        <v>100</v>
      </c>
      <c r="N255" s="640">
        <f>VLOOKUP($I255,Prices!A:D,4,0)</f>
        <v>49</v>
      </c>
      <c r="O255" s="772">
        <f t="shared" si="21"/>
        <v>4900000</v>
      </c>
      <c r="P255" s="793">
        <f t="shared" si="20"/>
        <v>4900</v>
      </c>
      <c r="Q255" s="851"/>
      <c r="R255" s="851"/>
      <c r="S255" s="853"/>
      <c r="T255" s="852"/>
      <c r="U255" s="855"/>
      <c r="V255" s="855"/>
      <c r="W255" s="855"/>
      <c r="X255" s="904"/>
      <c r="Y255" s="852"/>
      <c r="Z255" s="852"/>
      <c r="AA255" s="910"/>
      <c r="AB255" s="820" t="s">
        <v>21</v>
      </c>
      <c r="AC255" s="820" t="s">
        <v>21</v>
      </c>
      <c r="AD255" s="820" t="s">
        <v>21</v>
      </c>
      <c r="AE255" s="820" t="s">
        <v>21</v>
      </c>
      <c r="AF255" s="820" t="s">
        <v>21</v>
      </c>
      <c r="AG255" s="820" t="s">
        <v>21</v>
      </c>
      <c r="AH255" s="820" t="s">
        <v>21</v>
      </c>
      <c r="AI255" s="820" t="s">
        <v>21</v>
      </c>
      <c r="AJ255" s="820" t="s">
        <v>21</v>
      </c>
      <c r="AK255" s="820" t="s">
        <v>21</v>
      </c>
      <c r="AL255" s="820" t="s">
        <v>21</v>
      </c>
      <c r="AM255" s="820" t="s">
        <v>21</v>
      </c>
      <c r="AN255" s="820" t="s">
        <v>21</v>
      </c>
      <c r="AO255" s="820" t="s">
        <v>21</v>
      </c>
      <c r="AP255" s="775"/>
    </row>
    <row r="256" spans="1:42" s="141" customFormat="1" ht="15" customHeight="1">
      <c r="A256" s="848"/>
      <c r="B256" s="848"/>
      <c r="C256" s="861"/>
      <c r="D256" s="848"/>
      <c r="E256" s="848"/>
      <c r="F256" s="859"/>
      <c r="G256" s="851"/>
      <c r="H256" s="857"/>
      <c r="I256" s="547" t="s">
        <v>648</v>
      </c>
      <c r="J256" s="658">
        <f>VLOOKUP($I256,Prices!A:B,2,0)</f>
        <v>2.5</v>
      </c>
      <c r="K256" s="790">
        <f>VLOOKUP(I256,Prices!A:C,3,0)</f>
        <v>0</v>
      </c>
      <c r="L256" s="640">
        <v>14900</v>
      </c>
      <c r="M256" s="640">
        <v>149</v>
      </c>
      <c r="N256" s="640">
        <f>VLOOKUP($I256,Prices!A:D,4,0)</f>
        <v>16.5</v>
      </c>
      <c r="O256" s="772"/>
      <c r="P256" s="793" t="s">
        <v>194</v>
      </c>
      <c r="Q256" s="851"/>
      <c r="R256" s="851"/>
      <c r="S256" s="853"/>
      <c r="T256" s="852"/>
      <c r="U256" s="855"/>
      <c r="V256" s="855"/>
      <c r="W256" s="855"/>
      <c r="X256" s="904"/>
      <c r="Y256" s="852"/>
      <c r="Z256" s="852"/>
      <c r="AA256" s="910"/>
      <c r="AB256" s="820" t="s">
        <v>21</v>
      </c>
      <c r="AC256" s="820" t="s">
        <v>21</v>
      </c>
      <c r="AD256" s="820" t="s">
        <v>21</v>
      </c>
      <c r="AE256" s="820" t="s">
        <v>21</v>
      </c>
      <c r="AF256" s="820" t="s">
        <v>21</v>
      </c>
      <c r="AG256" s="820" t="s">
        <v>21</v>
      </c>
      <c r="AH256" s="820" t="s">
        <v>21</v>
      </c>
      <c r="AI256" s="820" t="s">
        <v>21</v>
      </c>
      <c r="AJ256" s="820" t="s">
        <v>21</v>
      </c>
      <c r="AK256" s="820" t="s">
        <v>21</v>
      </c>
      <c r="AL256" s="820" t="s">
        <v>21</v>
      </c>
      <c r="AM256" s="820" t="s">
        <v>21</v>
      </c>
      <c r="AN256" s="820" t="s">
        <v>21</v>
      </c>
      <c r="AO256" s="820" t="s">
        <v>21</v>
      </c>
      <c r="AP256" s="775"/>
    </row>
    <row r="257" spans="1:42" s="141" customFormat="1" ht="15" customHeight="1">
      <c r="A257" s="848"/>
      <c r="B257" s="848"/>
      <c r="C257" s="861"/>
      <c r="D257" s="848"/>
      <c r="E257" s="848"/>
      <c r="F257" s="859"/>
      <c r="G257" s="851"/>
      <c r="H257" s="857"/>
      <c r="I257" s="547" t="s">
        <v>868</v>
      </c>
      <c r="J257" s="658">
        <f>VLOOKUP($I257,Prices!A:B,2,0)</f>
        <v>2.5</v>
      </c>
      <c r="K257" s="790">
        <f>VLOOKUP(I257,Prices!A:C,3,0)</f>
        <v>0</v>
      </c>
      <c r="L257" s="640">
        <v>5300</v>
      </c>
      <c r="M257" s="640">
        <v>53</v>
      </c>
      <c r="N257" s="640">
        <f>VLOOKUP($I257,Prices!A:D,4,0)</f>
        <v>15</v>
      </c>
      <c r="O257" s="772">
        <f t="shared" si="21"/>
        <v>79500</v>
      </c>
      <c r="P257" s="793">
        <f t="shared" si="20"/>
        <v>795</v>
      </c>
      <c r="Q257" s="851"/>
      <c r="R257" s="851"/>
      <c r="S257" s="853"/>
      <c r="T257" s="852"/>
      <c r="U257" s="855"/>
      <c r="V257" s="855"/>
      <c r="W257" s="855"/>
      <c r="X257" s="904"/>
      <c r="Y257" s="852"/>
      <c r="Z257" s="852"/>
      <c r="AA257" s="910"/>
      <c r="AB257" s="820" t="s">
        <v>21</v>
      </c>
      <c r="AC257" s="820" t="s">
        <v>21</v>
      </c>
      <c r="AD257" s="820" t="s">
        <v>21</v>
      </c>
      <c r="AE257" s="820" t="s">
        <v>21</v>
      </c>
      <c r="AF257" s="820" t="s">
        <v>21</v>
      </c>
      <c r="AG257" s="820" t="s">
        <v>21</v>
      </c>
      <c r="AH257" s="820" t="s">
        <v>21</v>
      </c>
      <c r="AI257" s="820" t="s">
        <v>21</v>
      </c>
      <c r="AJ257" s="820" t="s">
        <v>21</v>
      </c>
      <c r="AK257" s="820" t="s">
        <v>21</v>
      </c>
      <c r="AL257" s="820" t="s">
        <v>21</v>
      </c>
      <c r="AM257" s="820" t="s">
        <v>21</v>
      </c>
      <c r="AN257" s="820" t="s">
        <v>21</v>
      </c>
      <c r="AO257" s="820" t="s">
        <v>21</v>
      </c>
      <c r="AP257" s="775"/>
    </row>
    <row r="258" spans="1:42" s="141" customFormat="1" ht="15" customHeight="1">
      <c r="A258" s="848"/>
      <c r="B258" s="848"/>
      <c r="C258" s="861"/>
      <c r="D258" s="848"/>
      <c r="E258" s="848"/>
      <c r="F258" s="859"/>
      <c r="G258" s="851"/>
      <c r="H258" s="857"/>
      <c r="I258" s="547" t="s">
        <v>344</v>
      </c>
      <c r="J258" s="658">
        <f>VLOOKUP($I258,Prices!A:B,2,0)</f>
        <v>1</v>
      </c>
      <c r="K258" s="790">
        <f>VLOOKUP(I258,Prices!A:C,3,0)</f>
        <v>0</v>
      </c>
      <c r="L258" s="640">
        <v>28000</v>
      </c>
      <c r="M258" s="640">
        <v>28</v>
      </c>
      <c r="N258" s="640">
        <f>VLOOKUP($I258,Prices!A:D,4,0)</f>
        <v>1400</v>
      </c>
      <c r="O258" s="772">
        <f t="shared" si="21"/>
        <v>39200000</v>
      </c>
      <c r="P258" s="793">
        <f t="shared" si="20"/>
        <v>39200</v>
      </c>
      <c r="Q258" s="851"/>
      <c r="R258" s="851"/>
      <c r="S258" s="853"/>
      <c r="T258" s="852"/>
      <c r="U258" s="855"/>
      <c r="V258" s="855"/>
      <c r="W258" s="855"/>
      <c r="X258" s="904"/>
      <c r="Y258" s="852"/>
      <c r="Z258" s="852"/>
      <c r="AA258" s="910"/>
      <c r="AB258" s="820" t="s">
        <v>21</v>
      </c>
      <c r="AC258" s="820" t="s">
        <v>21</v>
      </c>
      <c r="AD258" s="820" t="s">
        <v>21</v>
      </c>
      <c r="AE258" s="820" t="s">
        <v>21</v>
      </c>
      <c r="AF258" s="820" t="s">
        <v>21</v>
      </c>
      <c r="AG258" s="820" t="s">
        <v>21</v>
      </c>
      <c r="AH258" s="820" t="s">
        <v>21</v>
      </c>
      <c r="AI258" s="820" t="s">
        <v>21</v>
      </c>
      <c r="AJ258" s="820" t="s">
        <v>21</v>
      </c>
      <c r="AK258" s="820" t="s">
        <v>21</v>
      </c>
      <c r="AL258" s="820" t="s">
        <v>21</v>
      </c>
      <c r="AM258" s="820" t="s">
        <v>21</v>
      </c>
      <c r="AN258" s="820" t="s">
        <v>21</v>
      </c>
      <c r="AO258" s="820" t="s">
        <v>21</v>
      </c>
      <c r="AP258" s="775"/>
    </row>
    <row r="259" spans="1:42" s="141" customFormat="1" ht="15" customHeight="1">
      <c r="A259" s="848"/>
      <c r="B259" s="848"/>
      <c r="C259" s="861"/>
      <c r="D259" s="848"/>
      <c r="E259" s="848"/>
      <c r="F259" s="859"/>
      <c r="G259" s="851"/>
      <c r="H259" s="857"/>
      <c r="I259" s="547" t="s">
        <v>348</v>
      </c>
      <c r="J259" s="658">
        <f>VLOOKUP($I259,Prices!A:B,2,0)</f>
        <v>1</v>
      </c>
      <c r="K259" s="790">
        <f>VLOOKUP(I259,Prices!A:C,3,0)</f>
        <v>0</v>
      </c>
      <c r="L259" s="640" t="s">
        <v>224</v>
      </c>
      <c r="M259" s="640" t="s">
        <v>224</v>
      </c>
      <c r="N259" s="640">
        <f>VLOOKUP($I259,Prices!A:D,4,0)</f>
        <v>500</v>
      </c>
      <c r="O259" s="772"/>
      <c r="P259" s="793" t="s">
        <v>194</v>
      </c>
      <c r="Q259" s="851"/>
      <c r="R259" s="851"/>
      <c r="S259" s="853"/>
      <c r="T259" s="852"/>
      <c r="U259" s="855"/>
      <c r="V259" s="855"/>
      <c r="W259" s="855"/>
      <c r="X259" s="904"/>
      <c r="Y259" s="852"/>
      <c r="Z259" s="852"/>
      <c r="AA259" s="910"/>
      <c r="AB259" s="820" t="s">
        <v>21</v>
      </c>
      <c r="AC259" s="820" t="s">
        <v>21</v>
      </c>
      <c r="AD259" s="820" t="s">
        <v>21</v>
      </c>
      <c r="AE259" s="820" t="s">
        <v>21</v>
      </c>
      <c r="AF259" s="820" t="s">
        <v>21</v>
      </c>
      <c r="AG259" s="820" t="s">
        <v>21</v>
      </c>
      <c r="AH259" s="820" t="s">
        <v>21</v>
      </c>
      <c r="AI259" s="820" t="s">
        <v>21</v>
      </c>
      <c r="AJ259" s="820" t="s">
        <v>21</v>
      </c>
      <c r="AK259" s="820" t="s">
        <v>21</v>
      </c>
      <c r="AL259" s="820" t="s">
        <v>21</v>
      </c>
      <c r="AM259" s="820" t="s">
        <v>21</v>
      </c>
      <c r="AN259" s="820" t="s">
        <v>21</v>
      </c>
      <c r="AO259" s="820" t="s">
        <v>21</v>
      </c>
      <c r="AP259" s="775"/>
    </row>
    <row r="260" spans="1:42" s="141" customFormat="1" ht="15" customHeight="1">
      <c r="A260" s="848"/>
      <c r="B260" s="848"/>
      <c r="C260" s="861"/>
      <c r="D260" s="848"/>
      <c r="E260" s="848"/>
      <c r="F260" s="859"/>
      <c r="G260" s="851"/>
      <c r="H260" s="857"/>
      <c r="I260" s="547" t="s">
        <v>412</v>
      </c>
      <c r="J260" s="658">
        <f>VLOOKUP($I260,Prices!A:B,2,0)</f>
        <v>1</v>
      </c>
      <c r="K260" s="790">
        <f>VLOOKUP(I260,Prices!A:C,3,0)</f>
        <v>0</v>
      </c>
      <c r="L260" s="640">
        <v>353</v>
      </c>
      <c r="M260" s="640">
        <v>353</v>
      </c>
      <c r="N260" s="640">
        <f>VLOOKUP($I260,Prices!A:D,4,0)</f>
        <v>7600</v>
      </c>
      <c r="O260" s="772">
        <f t="shared" si="21"/>
        <v>2682800</v>
      </c>
      <c r="P260" s="793">
        <f t="shared" si="20"/>
        <v>2682800</v>
      </c>
      <c r="Q260" s="851"/>
      <c r="R260" s="851"/>
      <c r="S260" s="853"/>
      <c r="T260" s="852"/>
      <c r="U260" s="855"/>
      <c r="V260" s="855"/>
      <c r="W260" s="855"/>
      <c r="X260" s="904"/>
      <c r="Y260" s="852"/>
      <c r="Z260" s="852"/>
      <c r="AA260" s="910"/>
      <c r="AB260" s="820" t="s">
        <v>21</v>
      </c>
      <c r="AC260" s="820" t="s">
        <v>21</v>
      </c>
      <c r="AD260" s="820" t="s">
        <v>21</v>
      </c>
      <c r="AE260" s="820" t="s">
        <v>21</v>
      </c>
      <c r="AF260" s="820" t="s">
        <v>21</v>
      </c>
      <c r="AG260" s="820" t="s">
        <v>21</v>
      </c>
      <c r="AH260" s="820" t="s">
        <v>21</v>
      </c>
      <c r="AI260" s="820" t="s">
        <v>21</v>
      </c>
      <c r="AJ260" s="820" t="s">
        <v>21</v>
      </c>
      <c r="AK260" s="820" t="s">
        <v>21</v>
      </c>
      <c r="AL260" s="820" t="s">
        <v>21</v>
      </c>
      <c r="AM260" s="820" t="s">
        <v>21</v>
      </c>
      <c r="AN260" s="820" t="s">
        <v>21</v>
      </c>
      <c r="AO260" s="820" t="s">
        <v>21</v>
      </c>
      <c r="AP260" s="775"/>
    </row>
    <row r="261" spans="1:42" s="141" customFormat="1" ht="15" customHeight="1">
      <c r="A261" s="848"/>
      <c r="B261" s="848"/>
      <c r="C261" s="861"/>
      <c r="D261" s="848"/>
      <c r="E261" s="848"/>
      <c r="F261" s="859"/>
      <c r="G261" s="851"/>
      <c r="H261" s="857"/>
      <c r="I261" s="547" t="s">
        <v>838</v>
      </c>
      <c r="J261" s="658">
        <f>VLOOKUP($I261,Prices!A:B,2,0)</f>
        <v>1</v>
      </c>
      <c r="K261" s="790">
        <f>VLOOKUP(I261,Prices!A:C,3,0)</f>
        <v>0</v>
      </c>
      <c r="L261" s="640">
        <v>30</v>
      </c>
      <c r="M261" s="640">
        <v>30</v>
      </c>
      <c r="N261" s="640">
        <f>VLOOKUP($I261,Prices!A:D,4,0)</f>
        <v>60000</v>
      </c>
      <c r="O261" s="772">
        <f t="shared" si="21"/>
        <v>1800000</v>
      </c>
      <c r="P261" s="793">
        <f t="shared" si="20"/>
        <v>1800000</v>
      </c>
      <c r="Q261" s="851"/>
      <c r="R261" s="851"/>
      <c r="S261" s="853"/>
      <c r="T261" s="852"/>
      <c r="U261" s="855"/>
      <c r="V261" s="855"/>
      <c r="W261" s="855"/>
      <c r="X261" s="904"/>
      <c r="Y261" s="852"/>
      <c r="Z261" s="852"/>
      <c r="AA261" s="910"/>
      <c r="AB261" s="820" t="s">
        <v>21</v>
      </c>
      <c r="AC261" s="820" t="s">
        <v>21</v>
      </c>
      <c r="AD261" s="820" t="s">
        <v>21</v>
      </c>
      <c r="AE261" s="820" t="s">
        <v>21</v>
      </c>
      <c r="AF261" s="820" t="s">
        <v>21</v>
      </c>
      <c r="AG261" s="820" t="s">
        <v>21</v>
      </c>
      <c r="AH261" s="820" t="s">
        <v>21</v>
      </c>
      <c r="AI261" s="820" t="s">
        <v>21</v>
      </c>
      <c r="AJ261" s="820" t="s">
        <v>21</v>
      </c>
      <c r="AK261" s="820" t="s">
        <v>21</v>
      </c>
      <c r="AL261" s="820" t="s">
        <v>21</v>
      </c>
      <c r="AM261" s="820" t="s">
        <v>21</v>
      </c>
      <c r="AN261" s="820" t="s">
        <v>21</v>
      </c>
      <c r="AO261" s="820" t="s">
        <v>21</v>
      </c>
      <c r="AP261" s="775"/>
    </row>
    <row r="262" spans="1:42" s="141" customFormat="1" ht="15" customHeight="1">
      <c r="A262" s="848"/>
      <c r="B262" s="848"/>
      <c r="C262" s="861"/>
      <c r="D262" s="848"/>
      <c r="E262" s="848"/>
      <c r="F262" s="859"/>
      <c r="G262" s="851"/>
      <c r="H262" s="857"/>
      <c r="I262" s="547" t="s">
        <v>869</v>
      </c>
      <c r="J262" s="658">
        <f>VLOOKUP($I262,Prices!A:B,2,0)</f>
        <v>1</v>
      </c>
      <c r="K262" s="790">
        <f>VLOOKUP(I262,Prices!A:C,3,0)</f>
        <v>0</v>
      </c>
      <c r="L262" s="640">
        <v>178</v>
      </c>
      <c r="M262" s="640">
        <v>178</v>
      </c>
      <c r="N262" s="640">
        <f>VLOOKUP($I262,Prices!A:D,4,0)</f>
        <v>60000</v>
      </c>
      <c r="O262" s="772">
        <f t="shared" si="21"/>
        <v>10680000</v>
      </c>
      <c r="P262" s="793">
        <f t="shared" si="20"/>
        <v>10680000</v>
      </c>
      <c r="Q262" s="851"/>
      <c r="R262" s="851"/>
      <c r="S262" s="853"/>
      <c r="T262" s="852"/>
      <c r="U262" s="855"/>
      <c r="V262" s="855"/>
      <c r="W262" s="855"/>
      <c r="X262" s="904"/>
      <c r="Y262" s="852"/>
      <c r="Z262" s="852"/>
      <c r="AA262" s="910"/>
      <c r="AB262" s="820" t="s">
        <v>21</v>
      </c>
      <c r="AC262" s="820" t="s">
        <v>21</v>
      </c>
      <c r="AD262" s="820" t="s">
        <v>21</v>
      </c>
      <c r="AE262" s="820" t="s">
        <v>21</v>
      </c>
      <c r="AF262" s="820" t="s">
        <v>21</v>
      </c>
      <c r="AG262" s="820" t="s">
        <v>21</v>
      </c>
      <c r="AH262" s="820" t="s">
        <v>21</v>
      </c>
      <c r="AI262" s="820" t="s">
        <v>21</v>
      </c>
      <c r="AJ262" s="820" t="s">
        <v>21</v>
      </c>
      <c r="AK262" s="820" t="s">
        <v>21</v>
      </c>
      <c r="AL262" s="820" t="s">
        <v>21</v>
      </c>
      <c r="AM262" s="820" t="s">
        <v>21</v>
      </c>
      <c r="AN262" s="820" t="s">
        <v>21</v>
      </c>
      <c r="AO262" s="820" t="s">
        <v>21</v>
      </c>
      <c r="AP262" s="775"/>
    </row>
    <row r="263" spans="1:42" s="141" customFormat="1" ht="15" customHeight="1">
      <c r="A263" s="848"/>
      <c r="B263" s="848"/>
      <c r="C263" s="861"/>
      <c r="D263" s="848"/>
      <c r="E263" s="848"/>
      <c r="F263" s="859"/>
      <c r="G263" s="851"/>
      <c r="H263" s="857"/>
      <c r="I263" s="547" t="s">
        <v>669</v>
      </c>
      <c r="J263" s="658">
        <f>VLOOKUP($I263,Prices!A:B,2,0)</f>
        <v>1</v>
      </c>
      <c r="K263" s="790">
        <f>VLOOKUP(I263,Prices!A:C,3,0)</f>
        <v>0</v>
      </c>
      <c r="L263" s="640">
        <v>360000</v>
      </c>
      <c r="M263" s="640">
        <v>360</v>
      </c>
      <c r="N263" s="640">
        <f>VLOOKUP($I263,Prices!A:D,4,0)</f>
        <v>22</v>
      </c>
      <c r="O263" s="772">
        <f>L263*N263</f>
        <v>7920000</v>
      </c>
      <c r="P263" s="793">
        <f t="shared" si="20"/>
        <v>7920</v>
      </c>
      <c r="Q263" s="851"/>
      <c r="R263" s="851"/>
      <c r="S263" s="853"/>
      <c r="T263" s="852"/>
      <c r="U263" s="855"/>
      <c r="V263" s="855"/>
      <c r="W263" s="855"/>
      <c r="X263" s="904"/>
      <c r="Y263" s="852"/>
      <c r="Z263" s="852"/>
      <c r="AA263" s="910"/>
      <c r="AB263" s="820" t="s">
        <v>21</v>
      </c>
      <c r="AC263" s="820" t="s">
        <v>21</v>
      </c>
      <c r="AD263" s="820" t="s">
        <v>21</v>
      </c>
      <c r="AE263" s="820" t="s">
        <v>21</v>
      </c>
      <c r="AF263" s="820" t="s">
        <v>21</v>
      </c>
      <c r="AG263" s="820" t="s">
        <v>21</v>
      </c>
      <c r="AH263" s="820" t="s">
        <v>21</v>
      </c>
      <c r="AI263" s="820" t="s">
        <v>21</v>
      </c>
      <c r="AJ263" s="820" t="s">
        <v>21</v>
      </c>
      <c r="AK263" s="820" t="s">
        <v>21</v>
      </c>
      <c r="AL263" s="820" t="s">
        <v>21</v>
      </c>
      <c r="AM263" s="820" t="s">
        <v>21</v>
      </c>
      <c r="AN263" s="820" t="s">
        <v>21</v>
      </c>
      <c r="AO263" s="820" t="s">
        <v>21</v>
      </c>
      <c r="AP263" s="775"/>
    </row>
    <row r="264" spans="1:42" s="141" customFormat="1" ht="15" customHeight="1">
      <c r="A264" s="848"/>
      <c r="B264" s="848"/>
      <c r="C264" s="861"/>
      <c r="D264" s="848"/>
      <c r="E264" s="848"/>
      <c r="F264" s="859"/>
      <c r="G264" s="851"/>
      <c r="H264" s="857"/>
      <c r="I264" s="547" t="s">
        <v>870</v>
      </c>
      <c r="J264" s="658">
        <f>VLOOKUP($I264,Prices!A:B,2,0)</f>
        <v>1</v>
      </c>
      <c r="K264" s="790">
        <f>VLOOKUP(I264,Prices!A:C,3,0)</f>
        <v>0</v>
      </c>
      <c r="L264" s="640">
        <v>100000</v>
      </c>
      <c r="M264" s="640">
        <v>100</v>
      </c>
      <c r="N264" s="640">
        <f>VLOOKUP($I264,Prices!A:D,4,0)</f>
        <v>99.18</v>
      </c>
      <c r="O264" s="772"/>
      <c r="P264" s="793" t="s">
        <v>194</v>
      </c>
      <c r="Q264" s="851"/>
      <c r="R264" s="851"/>
      <c r="S264" s="853"/>
      <c r="T264" s="852"/>
      <c r="U264" s="855"/>
      <c r="V264" s="855"/>
      <c r="W264" s="855"/>
      <c r="X264" s="904"/>
      <c r="Y264" s="852"/>
      <c r="Z264" s="852"/>
      <c r="AA264" s="910"/>
      <c r="AB264" s="820" t="s">
        <v>21</v>
      </c>
      <c r="AC264" s="820" t="s">
        <v>21</v>
      </c>
      <c r="AD264" s="820" t="s">
        <v>21</v>
      </c>
      <c r="AE264" s="820" t="s">
        <v>21</v>
      </c>
      <c r="AF264" s="820" t="s">
        <v>21</v>
      </c>
      <c r="AG264" s="820" t="s">
        <v>21</v>
      </c>
      <c r="AH264" s="820" t="s">
        <v>21</v>
      </c>
      <c r="AI264" s="820" t="s">
        <v>21</v>
      </c>
      <c r="AJ264" s="820" t="s">
        <v>21</v>
      </c>
      <c r="AK264" s="820" t="s">
        <v>21</v>
      </c>
      <c r="AL264" s="820" t="s">
        <v>21</v>
      </c>
      <c r="AM264" s="820" t="s">
        <v>21</v>
      </c>
      <c r="AN264" s="820" t="s">
        <v>21</v>
      </c>
      <c r="AO264" s="820" t="s">
        <v>21</v>
      </c>
      <c r="AP264" s="775"/>
    </row>
    <row r="265" spans="1:42" s="141" customFormat="1" ht="15" customHeight="1">
      <c r="A265" s="848"/>
      <c r="B265" s="848"/>
      <c r="C265" s="861"/>
      <c r="D265" s="848"/>
      <c r="E265" s="848"/>
      <c r="F265" s="859"/>
      <c r="G265" s="851"/>
      <c r="H265" s="857"/>
      <c r="I265" s="547" t="s">
        <v>871</v>
      </c>
      <c r="J265" s="658">
        <f>VLOOKUP($I265,Prices!A:B,2,0)</f>
        <v>1</v>
      </c>
      <c r="K265" s="790">
        <f>VLOOKUP(I265,Prices!A:C,3,0)</f>
        <v>0</v>
      </c>
      <c r="L265" s="640">
        <v>350000</v>
      </c>
      <c r="M265" s="640">
        <v>350</v>
      </c>
      <c r="N265" s="640">
        <f>VLOOKUP($I265,Prices!A:D,4,0)</f>
        <v>8</v>
      </c>
      <c r="O265" s="772">
        <f t="shared" si="21"/>
        <v>2800000</v>
      </c>
      <c r="P265" s="793">
        <f t="shared" si="20"/>
        <v>2800</v>
      </c>
      <c r="Q265" s="851"/>
      <c r="R265" s="851"/>
      <c r="S265" s="853"/>
      <c r="T265" s="852"/>
      <c r="U265" s="855"/>
      <c r="V265" s="855"/>
      <c r="W265" s="855"/>
      <c r="X265" s="904"/>
      <c r="Y265" s="852"/>
      <c r="Z265" s="852"/>
      <c r="AA265" s="910"/>
      <c r="AB265" s="820" t="s">
        <v>21</v>
      </c>
      <c r="AC265" s="820" t="s">
        <v>21</v>
      </c>
      <c r="AD265" s="820" t="s">
        <v>21</v>
      </c>
      <c r="AE265" s="820" t="s">
        <v>21</v>
      </c>
      <c r="AF265" s="820" t="s">
        <v>21</v>
      </c>
      <c r="AG265" s="820" t="s">
        <v>21</v>
      </c>
      <c r="AH265" s="820" t="s">
        <v>21</v>
      </c>
      <c r="AI265" s="820" t="s">
        <v>21</v>
      </c>
      <c r="AJ265" s="820" t="s">
        <v>21</v>
      </c>
      <c r="AK265" s="820" t="s">
        <v>21</v>
      </c>
      <c r="AL265" s="820" t="s">
        <v>21</v>
      </c>
      <c r="AM265" s="820" t="s">
        <v>21</v>
      </c>
      <c r="AN265" s="820" t="s">
        <v>21</v>
      </c>
      <c r="AO265" s="820" t="s">
        <v>21</v>
      </c>
      <c r="AP265" s="775"/>
    </row>
    <row r="266" spans="1:42" s="141" customFormat="1" ht="15" customHeight="1">
      <c r="A266" s="848"/>
      <c r="B266" s="848"/>
      <c r="C266" s="861"/>
      <c r="D266" s="848"/>
      <c r="E266" s="848"/>
      <c r="F266" s="859"/>
      <c r="G266" s="851"/>
      <c r="H266" s="857"/>
      <c r="I266" s="546" t="s">
        <v>870</v>
      </c>
      <c r="J266" s="658">
        <f>VLOOKUP($I266,Prices!A:B,2,0)</f>
        <v>1</v>
      </c>
      <c r="K266" s="790">
        <f>VLOOKUP(I266,Prices!A:C,3,0)</f>
        <v>0</v>
      </c>
      <c r="L266" s="641">
        <v>100000</v>
      </c>
      <c r="M266" s="641">
        <v>100000</v>
      </c>
      <c r="N266" s="640">
        <f>VLOOKUP($I266,Prices!A:D,4,0)</f>
        <v>99.18</v>
      </c>
      <c r="O266" s="772"/>
      <c r="P266" s="793" t="s">
        <v>194</v>
      </c>
      <c r="Q266" s="851"/>
      <c r="R266" s="851"/>
      <c r="S266" s="853"/>
      <c r="T266" s="852"/>
      <c r="U266" s="855"/>
      <c r="V266" s="855"/>
      <c r="W266" s="855"/>
      <c r="X266" s="904"/>
      <c r="Y266" s="852"/>
      <c r="Z266" s="852"/>
      <c r="AA266" s="910"/>
      <c r="AB266" s="820" t="s">
        <v>21</v>
      </c>
      <c r="AC266" s="820" t="s">
        <v>21</v>
      </c>
      <c r="AD266" s="820" t="s">
        <v>21</v>
      </c>
      <c r="AE266" s="820" t="s">
        <v>21</v>
      </c>
      <c r="AF266" s="820" t="s">
        <v>21</v>
      </c>
      <c r="AG266" s="820" t="s">
        <v>21</v>
      </c>
      <c r="AH266" s="820" t="s">
        <v>21</v>
      </c>
      <c r="AI266" s="820" t="s">
        <v>21</v>
      </c>
      <c r="AJ266" s="820" t="s">
        <v>21</v>
      </c>
      <c r="AK266" s="820" t="s">
        <v>21</v>
      </c>
      <c r="AL266" s="820" t="s">
        <v>21</v>
      </c>
      <c r="AM266" s="820" t="s">
        <v>21</v>
      </c>
      <c r="AN266" s="820" t="s">
        <v>21</v>
      </c>
      <c r="AO266" s="820" t="s">
        <v>21</v>
      </c>
      <c r="AP266" s="775"/>
    </row>
    <row r="267" spans="1:42" s="141" customFormat="1" ht="18" customHeight="1">
      <c r="A267" s="848"/>
      <c r="B267" s="848"/>
      <c r="C267" s="861"/>
      <c r="D267" s="848"/>
      <c r="E267" s="848"/>
      <c r="F267" s="859"/>
      <c r="G267" s="851"/>
      <c r="H267" s="857"/>
      <c r="I267" s="713" t="s">
        <v>872</v>
      </c>
      <c r="J267" s="658">
        <f>VLOOKUP($I267,Prices!A:B,2,0)</f>
        <v>1</v>
      </c>
      <c r="K267" s="790">
        <f>VLOOKUP(I267,Prices!A:C,3,0)</f>
        <v>0</v>
      </c>
      <c r="L267" s="641">
        <v>15</v>
      </c>
      <c r="M267" s="641">
        <v>15</v>
      </c>
      <c r="N267" s="640">
        <f>VLOOKUP($I267,Prices!A:D,4,0)</f>
        <v>7.37</v>
      </c>
      <c r="O267" s="772"/>
      <c r="P267" s="793" t="s">
        <v>194</v>
      </c>
      <c r="Q267" s="851"/>
      <c r="R267" s="851"/>
      <c r="S267" s="853"/>
      <c r="T267" s="852"/>
      <c r="U267" s="855"/>
      <c r="V267" s="855"/>
      <c r="W267" s="855"/>
      <c r="X267" s="904"/>
      <c r="Y267" s="852"/>
      <c r="Z267" s="852"/>
      <c r="AA267" s="910"/>
      <c r="AB267" s="820" t="s">
        <v>21</v>
      </c>
      <c r="AC267" s="820" t="s">
        <v>21</v>
      </c>
      <c r="AD267" s="820" t="s">
        <v>21</v>
      </c>
      <c r="AE267" s="820" t="s">
        <v>21</v>
      </c>
      <c r="AF267" s="820" t="s">
        <v>21</v>
      </c>
      <c r="AG267" s="820" t="s">
        <v>21</v>
      </c>
      <c r="AH267" s="820" t="s">
        <v>21</v>
      </c>
      <c r="AI267" s="820" t="s">
        <v>21</v>
      </c>
      <c r="AJ267" s="820" t="s">
        <v>21</v>
      </c>
      <c r="AK267" s="820" t="s">
        <v>21</v>
      </c>
      <c r="AL267" s="820" t="s">
        <v>21</v>
      </c>
      <c r="AM267" s="820" t="s">
        <v>21</v>
      </c>
      <c r="AN267" s="820" t="s">
        <v>21</v>
      </c>
      <c r="AO267" s="820" t="s">
        <v>21</v>
      </c>
      <c r="AP267" s="775"/>
    </row>
    <row r="268" spans="1:42" s="141" customFormat="1" ht="15" customHeight="1">
      <c r="A268" s="848"/>
      <c r="B268" s="848"/>
      <c r="C268" s="861"/>
      <c r="D268" s="848"/>
      <c r="E268" s="848"/>
      <c r="F268" s="859"/>
      <c r="G268" s="851"/>
      <c r="H268" s="857"/>
      <c r="I268" s="713" t="s">
        <v>873</v>
      </c>
      <c r="J268" s="658">
        <f>VLOOKUP($I268,Prices!A:B,2,0)</f>
        <v>1</v>
      </c>
      <c r="K268" s="790">
        <f>VLOOKUP(I268,Prices!A:C,3,0)</f>
        <v>0</v>
      </c>
      <c r="L268" s="641">
        <v>100</v>
      </c>
      <c r="M268" s="641">
        <v>100</v>
      </c>
      <c r="N268" s="640">
        <f>VLOOKUP($I268,Prices!A:D,4,0)</f>
        <v>65</v>
      </c>
      <c r="O268" s="772">
        <f t="shared" si="21"/>
        <v>6500</v>
      </c>
      <c r="P268" s="793">
        <f t="shared" si="20"/>
        <v>6500</v>
      </c>
      <c r="Q268" s="851"/>
      <c r="R268" s="851"/>
      <c r="S268" s="853"/>
      <c r="T268" s="852"/>
      <c r="U268" s="855"/>
      <c r="V268" s="855"/>
      <c r="W268" s="855"/>
      <c r="X268" s="904"/>
      <c r="Y268" s="852"/>
      <c r="Z268" s="852"/>
      <c r="AA268" s="910"/>
      <c r="AB268" s="820" t="s">
        <v>21</v>
      </c>
      <c r="AC268" s="820" t="s">
        <v>21</v>
      </c>
      <c r="AD268" s="820" t="s">
        <v>21</v>
      </c>
      <c r="AE268" s="820" t="s">
        <v>21</v>
      </c>
      <c r="AF268" s="820" t="s">
        <v>21</v>
      </c>
      <c r="AG268" s="820" t="s">
        <v>21</v>
      </c>
      <c r="AH268" s="820" t="s">
        <v>21</v>
      </c>
      <c r="AI268" s="820" t="s">
        <v>21</v>
      </c>
      <c r="AJ268" s="820" t="s">
        <v>21</v>
      </c>
      <c r="AK268" s="820" t="s">
        <v>21</v>
      </c>
      <c r="AL268" s="820" t="s">
        <v>21</v>
      </c>
      <c r="AM268" s="820" t="s">
        <v>21</v>
      </c>
      <c r="AN268" s="820" t="s">
        <v>21</v>
      </c>
      <c r="AO268" s="820" t="s">
        <v>21</v>
      </c>
      <c r="AP268" s="775"/>
    </row>
    <row r="269" spans="1:42" s="141" customFormat="1" ht="17.25" customHeight="1">
      <c r="A269" s="848"/>
      <c r="B269" s="848"/>
      <c r="C269" s="861"/>
      <c r="D269" s="848"/>
      <c r="E269" s="848"/>
      <c r="F269" s="859"/>
      <c r="G269" s="851"/>
      <c r="H269" s="857"/>
      <c r="I269" s="713" t="s">
        <v>267</v>
      </c>
      <c r="J269" s="658">
        <f>VLOOKUP($I269,Prices!A:B,2,0)</f>
        <v>0</v>
      </c>
      <c r="K269" s="790">
        <f>VLOOKUP(I269,Prices!A:C,3,0)</f>
        <v>0</v>
      </c>
      <c r="L269" s="641">
        <v>12</v>
      </c>
      <c r="M269" s="641">
        <v>12</v>
      </c>
      <c r="N269" s="640" t="str">
        <f>VLOOKUP($I269,Prices!A:D,4,0)</f>
        <v>.</v>
      </c>
      <c r="O269" s="772"/>
      <c r="P269" s="793" t="s">
        <v>194</v>
      </c>
      <c r="Q269" s="851"/>
      <c r="R269" s="851"/>
      <c r="S269" s="853"/>
      <c r="T269" s="852"/>
      <c r="U269" s="855"/>
      <c r="V269" s="855"/>
      <c r="W269" s="855"/>
      <c r="X269" s="904"/>
      <c r="Y269" s="852"/>
      <c r="Z269" s="852"/>
      <c r="AA269" s="910"/>
      <c r="AB269" s="820" t="s">
        <v>21</v>
      </c>
      <c r="AC269" s="820" t="s">
        <v>21</v>
      </c>
      <c r="AD269" s="820" t="s">
        <v>21</v>
      </c>
      <c r="AE269" s="820" t="s">
        <v>21</v>
      </c>
      <c r="AF269" s="820" t="s">
        <v>21</v>
      </c>
      <c r="AG269" s="820" t="s">
        <v>21</v>
      </c>
      <c r="AH269" s="820" t="s">
        <v>21</v>
      </c>
      <c r="AI269" s="820" t="s">
        <v>21</v>
      </c>
      <c r="AJ269" s="820" t="s">
        <v>21</v>
      </c>
      <c r="AK269" s="820" t="s">
        <v>21</v>
      </c>
      <c r="AL269" s="820" t="s">
        <v>21</v>
      </c>
      <c r="AM269" s="820" t="s">
        <v>21</v>
      </c>
      <c r="AN269" s="820" t="s">
        <v>21</v>
      </c>
      <c r="AO269" s="820" t="s">
        <v>21</v>
      </c>
      <c r="AP269" s="775"/>
    </row>
    <row r="270" spans="1:42" s="141" customFormat="1" ht="14.25" customHeight="1">
      <c r="A270" s="848"/>
      <c r="B270" s="848"/>
      <c r="C270" s="861"/>
      <c r="D270" s="848"/>
      <c r="E270" s="848"/>
      <c r="F270" s="859"/>
      <c r="G270" s="851"/>
      <c r="H270" s="857"/>
      <c r="I270" s="713" t="s">
        <v>874</v>
      </c>
      <c r="J270" s="658">
        <f>VLOOKUP($I270,Prices!A:B,2,0)</f>
        <v>1</v>
      </c>
      <c r="K270" s="790">
        <f>VLOOKUP(I270,Prices!A:C,3,0)</f>
        <v>0</v>
      </c>
      <c r="L270" s="641">
        <v>6</v>
      </c>
      <c r="M270" s="641">
        <v>6</v>
      </c>
      <c r="N270" s="640" t="str">
        <f>VLOOKUP($I270,Prices!A:D,4,0)</f>
        <v>.</v>
      </c>
      <c r="O270" s="772"/>
      <c r="P270" s="793" t="s">
        <v>194</v>
      </c>
      <c r="Q270" s="851"/>
      <c r="R270" s="851"/>
      <c r="S270" s="853"/>
      <c r="T270" s="852"/>
      <c r="U270" s="855"/>
      <c r="V270" s="855"/>
      <c r="W270" s="855"/>
      <c r="X270" s="904"/>
      <c r="Y270" s="852"/>
      <c r="Z270" s="852"/>
      <c r="AA270" s="910"/>
      <c r="AB270" s="820" t="s">
        <v>21</v>
      </c>
      <c r="AC270" s="820" t="s">
        <v>21</v>
      </c>
      <c r="AD270" s="820" t="s">
        <v>21</v>
      </c>
      <c r="AE270" s="820" t="s">
        <v>21</v>
      </c>
      <c r="AF270" s="820" t="s">
        <v>21</v>
      </c>
      <c r="AG270" s="820" t="s">
        <v>21</v>
      </c>
      <c r="AH270" s="820" t="s">
        <v>21</v>
      </c>
      <c r="AI270" s="820" t="s">
        <v>21</v>
      </c>
      <c r="AJ270" s="820" t="s">
        <v>21</v>
      </c>
      <c r="AK270" s="820" t="s">
        <v>21</v>
      </c>
      <c r="AL270" s="820" t="s">
        <v>21</v>
      </c>
      <c r="AM270" s="820" t="s">
        <v>21</v>
      </c>
      <c r="AN270" s="820" t="s">
        <v>21</v>
      </c>
      <c r="AO270" s="820" t="s">
        <v>21</v>
      </c>
      <c r="AP270" s="775"/>
    </row>
    <row r="271" spans="1:42" s="141" customFormat="1" ht="14.25" customHeight="1">
      <c r="A271" s="848"/>
      <c r="B271" s="848"/>
      <c r="C271" s="861"/>
      <c r="D271" s="848"/>
      <c r="E271" s="848"/>
      <c r="F271" s="859"/>
      <c r="G271" s="851"/>
      <c r="H271" s="857"/>
      <c r="I271" s="713" t="s">
        <v>875</v>
      </c>
      <c r="J271" s="658">
        <f>VLOOKUP($I271,Prices!A:B,2,0)</f>
        <v>1</v>
      </c>
      <c r="K271" s="790">
        <f>VLOOKUP(I271,Prices!A:C,3,0)</f>
        <v>0</v>
      </c>
      <c r="L271" s="641">
        <v>125</v>
      </c>
      <c r="M271" s="641">
        <v>125</v>
      </c>
      <c r="N271" s="640">
        <f>VLOOKUP($I271,Prices!A:D,4,0)</f>
        <v>43.1</v>
      </c>
      <c r="O271" s="772"/>
      <c r="P271" s="793" t="s">
        <v>194</v>
      </c>
      <c r="Q271" s="851"/>
      <c r="R271" s="851"/>
      <c r="S271" s="853"/>
      <c r="T271" s="852"/>
      <c r="U271" s="855"/>
      <c r="V271" s="855"/>
      <c r="W271" s="855"/>
      <c r="X271" s="904"/>
      <c r="Y271" s="852"/>
      <c r="Z271" s="852"/>
      <c r="AA271" s="910"/>
      <c r="AB271" s="820" t="s">
        <v>21</v>
      </c>
      <c r="AC271" s="820" t="s">
        <v>21</v>
      </c>
      <c r="AD271" s="820" t="s">
        <v>21</v>
      </c>
      <c r="AE271" s="820" t="s">
        <v>21</v>
      </c>
      <c r="AF271" s="820" t="s">
        <v>21</v>
      </c>
      <c r="AG271" s="820" t="s">
        <v>21</v>
      </c>
      <c r="AH271" s="820" t="s">
        <v>21</v>
      </c>
      <c r="AI271" s="820" t="s">
        <v>21</v>
      </c>
      <c r="AJ271" s="820" t="s">
        <v>21</v>
      </c>
      <c r="AK271" s="820" t="s">
        <v>21</v>
      </c>
      <c r="AL271" s="820" t="s">
        <v>21</v>
      </c>
      <c r="AM271" s="820" t="s">
        <v>21</v>
      </c>
      <c r="AN271" s="820" t="s">
        <v>21</v>
      </c>
      <c r="AO271" s="820" t="s">
        <v>21</v>
      </c>
      <c r="AP271" s="775"/>
    </row>
    <row r="272" spans="1:42" s="141" customFormat="1" ht="14.25" customHeight="1">
      <c r="A272" s="848"/>
      <c r="B272" s="848"/>
      <c r="C272" s="861"/>
      <c r="D272" s="848"/>
      <c r="E272" s="848"/>
      <c r="F272" s="859"/>
      <c r="G272" s="851"/>
      <c r="H272" s="857"/>
      <c r="I272" s="546" t="s">
        <v>876</v>
      </c>
      <c r="J272" s="658">
        <f>VLOOKUP($I272,Prices!A:B,2,0)</f>
        <v>0</v>
      </c>
      <c r="K272" s="790">
        <f>VLOOKUP(I272,Prices!A:C,3,0)</f>
        <v>0</v>
      </c>
      <c r="L272" s="641">
        <v>1200</v>
      </c>
      <c r="M272" s="641">
        <v>1200</v>
      </c>
      <c r="N272" s="640">
        <f>VLOOKUP($I272,Prices!A:D,4,0)</f>
        <v>4646</v>
      </c>
      <c r="O272" s="772">
        <f t="shared" si="21"/>
        <v>5575200</v>
      </c>
      <c r="P272" s="793">
        <f t="shared" ref="P272:P322" si="22">$M272*$N272</f>
        <v>5575200</v>
      </c>
      <c r="Q272" s="851"/>
      <c r="R272" s="851"/>
      <c r="S272" s="853"/>
      <c r="T272" s="852"/>
      <c r="U272" s="855"/>
      <c r="V272" s="855"/>
      <c r="W272" s="855"/>
      <c r="X272" s="904"/>
      <c r="Y272" s="852"/>
      <c r="Z272" s="852"/>
      <c r="AA272" s="910"/>
      <c r="AB272" s="820" t="s">
        <v>21</v>
      </c>
      <c r="AC272" s="820" t="s">
        <v>21</v>
      </c>
      <c r="AD272" s="820" t="s">
        <v>21</v>
      </c>
      <c r="AE272" s="820" t="s">
        <v>21</v>
      </c>
      <c r="AF272" s="820" t="s">
        <v>21</v>
      </c>
      <c r="AG272" s="820" t="s">
        <v>21</v>
      </c>
      <c r="AH272" s="820" t="s">
        <v>21</v>
      </c>
      <c r="AI272" s="820" t="s">
        <v>21</v>
      </c>
      <c r="AJ272" s="820" t="s">
        <v>21</v>
      </c>
      <c r="AK272" s="820" t="s">
        <v>21</v>
      </c>
      <c r="AL272" s="820" t="s">
        <v>21</v>
      </c>
      <c r="AM272" s="820" t="s">
        <v>21</v>
      </c>
      <c r="AN272" s="820" t="s">
        <v>21</v>
      </c>
      <c r="AO272" s="820" t="s">
        <v>21</v>
      </c>
      <c r="AP272" s="775"/>
    </row>
    <row r="273" spans="1:42" s="141" customFormat="1" ht="14.25" customHeight="1">
      <c r="A273" s="848"/>
      <c r="B273" s="848"/>
      <c r="C273" s="861"/>
      <c r="D273" s="848"/>
      <c r="E273" s="848"/>
      <c r="F273" s="859"/>
      <c r="G273" s="851"/>
      <c r="H273" s="857"/>
      <c r="I273" s="714" t="s">
        <v>877</v>
      </c>
      <c r="J273" s="658">
        <f>VLOOKUP($I273,Prices!A:B,2,0)</f>
        <v>1</v>
      </c>
      <c r="K273" s="790">
        <f>VLOOKUP(I273,Prices!A:C,3,0)</f>
        <v>0</v>
      </c>
      <c r="L273" s="641">
        <v>18</v>
      </c>
      <c r="M273" s="641">
        <v>18</v>
      </c>
      <c r="N273" s="640" t="str">
        <f>VLOOKUP($I273,Prices!A:D,4,0)</f>
        <v>.</v>
      </c>
      <c r="O273" s="772"/>
      <c r="P273" s="793" t="s">
        <v>194</v>
      </c>
      <c r="Q273" s="851"/>
      <c r="R273" s="851"/>
      <c r="S273" s="853"/>
      <c r="T273" s="852"/>
      <c r="U273" s="855"/>
      <c r="V273" s="855"/>
      <c r="W273" s="855"/>
      <c r="X273" s="904"/>
      <c r="Y273" s="852"/>
      <c r="Z273" s="852"/>
      <c r="AA273" s="910"/>
      <c r="AB273" s="820" t="s">
        <v>21</v>
      </c>
      <c r="AC273" s="820" t="s">
        <v>21</v>
      </c>
      <c r="AD273" s="820" t="s">
        <v>21</v>
      </c>
      <c r="AE273" s="820" t="s">
        <v>21</v>
      </c>
      <c r="AF273" s="820" t="s">
        <v>21</v>
      </c>
      <c r="AG273" s="820" t="s">
        <v>21</v>
      </c>
      <c r="AH273" s="820" t="s">
        <v>21</v>
      </c>
      <c r="AI273" s="820" t="s">
        <v>21</v>
      </c>
      <c r="AJ273" s="820" t="s">
        <v>21</v>
      </c>
      <c r="AK273" s="820" t="s">
        <v>21</v>
      </c>
      <c r="AL273" s="820" t="s">
        <v>21</v>
      </c>
      <c r="AM273" s="820" t="s">
        <v>21</v>
      </c>
      <c r="AN273" s="820" t="s">
        <v>21</v>
      </c>
      <c r="AO273" s="820" t="s">
        <v>21</v>
      </c>
      <c r="AP273" s="775"/>
    </row>
    <row r="274" spans="1:42" s="141" customFormat="1" ht="14.25" customHeight="1">
      <c r="A274" s="848"/>
      <c r="B274" s="848"/>
      <c r="C274" s="861"/>
      <c r="D274" s="848"/>
      <c r="E274" s="848"/>
      <c r="F274" s="859"/>
      <c r="G274" s="851"/>
      <c r="H274" s="857"/>
      <c r="I274" s="547" t="s">
        <v>878</v>
      </c>
      <c r="J274" s="658">
        <f>VLOOKUP($I274,Prices!A:B,2,0)</f>
        <v>1</v>
      </c>
      <c r="K274" s="790">
        <f>VLOOKUP(I274,Prices!A:C,3,0)</f>
        <v>0</v>
      </c>
      <c r="L274" s="641">
        <v>60</v>
      </c>
      <c r="M274" s="641">
        <v>60</v>
      </c>
      <c r="N274" s="640">
        <f>VLOOKUP($I274,Prices!A:D,4,0)</f>
        <v>3000</v>
      </c>
      <c r="O274" s="772">
        <f t="shared" ref="O268:O329" si="23">$L274*$N274</f>
        <v>180000</v>
      </c>
      <c r="P274" s="793">
        <f t="shared" si="22"/>
        <v>180000</v>
      </c>
      <c r="Q274" s="851"/>
      <c r="R274" s="851"/>
      <c r="S274" s="853"/>
      <c r="T274" s="852"/>
      <c r="U274" s="855"/>
      <c r="V274" s="855"/>
      <c r="W274" s="855"/>
      <c r="X274" s="904"/>
      <c r="Y274" s="852"/>
      <c r="Z274" s="852"/>
      <c r="AA274" s="910"/>
      <c r="AB274" s="820" t="s">
        <v>21</v>
      </c>
      <c r="AC274" s="820" t="s">
        <v>21</v>
      </c>
      <c r="AD274" s="820" t="s">
        <v>21</v>
      </c>
      <c r="AE274" s="820" t="s">
        <v>21</v>
      </c>
      <c r="AF274" s="820" t="s">
        <v>21</v>
      </c>
      <c r="AG274" s="820" t="s">
        <v>21</v>
      </c>
      <c r="AH274" s="820" t="s">
        <v>21</v>
      </c>
      <c r="AI274" s="820" t="s">
        <v>21</v>
      </c>
      <c r="AJ274" s="820" t="s">
        <v>21</v>
      </c>
      <c r="AK274" s="820" t="s">
        <v>21</v>
      </c>
      <c r="AL274" s="820" t="s">
        <v>21</v>
      </c>
      <c r="AM274" s="820" t="s">
        <v>21</v>
      </c>
      <c r="AN274" s="820" t="s">
        <v>21</v>
      </c>
      <c r="AO274" s="820" t="s">
        <v>21</v>
      </c>
      <c r="AP274" s="775"/>
    </row>
    <row r="275" spans="1:42" s="141" customFormat="1" ht="14.25" customHeight="1">
      <c r="A275" s="848"/>
      <c r="B275" s="848"/>
      <c r="C275" s="861"/>
      <c r="D275" s="848"/>
      <c r="E275" s="848"/>
      <c r="F275" s="859"/>
      <c r="G275" s="851"/>
      <c r="H275" s="857"/>
      <c r="I275" s="547" t="s">
        <v>265</v>
      </c>
      <c r="J275" s="658">
        <f>VLOOKUP($I275,Prices!A:B,2,0)</f>
        <v>0</v>
      </c>
      <c r="K275" s="790">
        <f>VLOOKUP(I275,Prices!A:C,3,0)</f>
        <v>0</v>
      </c>
      <c r="L275" s="641" t="s">
        <v>224</v>
      </c>
      <c r="M275" s="641" t="s">
        <v>224</v>
      </c>
      <c r="N275" s="640">
        <f>VLOOKUP($I275,Prices!A:D,4,0)</f>
        <v>0.25</v>
      </c>
      <c r="O275" s="772" t="s">
        <v>194</v>
      </c>
      <c r="P275" s="793" t="s">
        <v>194</v>
      </c>
      <c r="Q275" s="851"/>
      <c r="R275" s="851"/>
      <c r="S275" s="853"/>
      <c r="T275" s="852"/>
      <c r="U275" s="855"/>
      <c r="V275" s="855"/>
      <c r="W275" s="855"/>
      <c r="X275" s="904"/>
      <c r="Y275" s="852"/>
      <c r="Z275" s="852"/>
      <c r="AA275" s="910"/>
      <c r="AB275" s="820" t="s">
        <v>21</v>
      </c>
      <c r="AC275" s="820" t="s">
        <v>21</v>
      </c>
      <c r="AD275" s="820" t="s">
        <v>21</v>
      </c>
      <c r="AE275" s="820" t="s">
        <v>21</v>
      </c>
      <c r="AF275" s="820" t="s">
        <v>21</v>
      </c>
      <c r="AG275" s="820" t="s">
        <v>21</v>
      </c>
      <c r="AH275" s="820" t="s">
        <v>21</v>
      </c>
      <c r="AI275" s="820" t="s">
        <v>21</v>
      </c>
      <c r="AJ275" s="820" t="s">
        <v>21</v>
      </c>
      <c r="AK275" s="820" t="s">
        <v>21</v>
      </c>
      <c r="AL275" s="820" t="s">
        <v>21</v>
      </c>
      <c r="AM275" s="820" t="s">
        <v>21</v>
      </c>
      <c r="AN275" s="820" t="s">
        <v>21</v>
      </c>
      <c r="AO275" s="820" t="s">
        <v>21</v>
      </c>
      <c r="AP275" s="775"/>
    </row>
    <row r="276" spans="1:42" s="141" customFormat="1" ht="14.25" customHeight="1">
      <c r="A276" s="848"/>
      <c r="B276" s="848"/>
      <c r="C276" s="861"/>
      <c r="D276" s="848"/>
      <c r="E276" s="848"/>
      <c r="F276" s="859"/>
      <c r="G276" s="851"/>
      <c r="H276" s="857"/>
      <c r="I276" s="547" t="s">
        <v>268</v>
      </c>
      <c r="J276" s="658">
        <f>VLOOKUP($I276,Prices!A:B,2,0)</f>
        <v>0</v>
      </c>
      <c r="K276" s="790">
        <f>VLOOKUP(I276,Prices!A:C,3,0)</f>
        <v>0</v>
      </c>
      <c r="L276" s="641">
        <v>10000</v>
      </c>
      <c r="M276" s="641">
        <v>10000</v>
      </c>
      <c r="N276" s="640">
        <f>VLOOKUP($I276,Prices!A:D,4,0)</f>
        <v>75</v>
      </c>
      <c r="O276" s="772">
        <f t="shared" si="23"/>
        <v>750000</v>
      </c>
      <c r="P276" s="793">
        <f t="shared" si="22"/>
        <v>750000</v>
      </c>
      <c r="Q276" s="851"/>
      <c r="R276" s="851"/>
      <c r="S276" s="853"/>
      <c r="T276" s="852"/>
      <c r="U276" s="855"/>
      <c r="V276" s="855"/>
      <c r="W276" s="855"/>
      <c r="X276" s="904"/>
      <c r="Y276" s="852"/>
      <c r="Z276" s="852"/>
      <c r="AA276" s="910"/>
      <c r="AB276" s="820" t="s">
        <v>21</v>
      </c>
      <c r="AC276" s="820" t="s">
        <v>21</v>
      </c>
      <c r="AD276" s="820" t="s">
        <v>21</v>
      </c>
      <c r="AE276" s="820" t="s">
        <v>21</v>
      </c>
      <c r="AF276" s="820" t="s">
        <v>21</v>
      </c>
      <c r="AG276" s="820" t="s">
        <v>21</v>
      </c>
      <c r="AH276" s="820" t="s">
        <v>21</v>
      </c>
      <c r="AI276" s="820" t="s">
        <v>21</v>
      </c>
      <c r="AJ276" s="820" t="s">
        <v>21</v>
      </c>
      <c r="AK276" s="820" t="s">
        <v>21</v>
      </c>
      <c r="AL276" s="820" t="s">
        <v>21</v>
      </c>
      <c r="AM276" s="820" t="s">
        <v>21</v>
      </c>
      <c r="AN276" s="820" t="s">
        <v>21</v>
      </c>
      <c r="AO276" s="820" t="s">
        <v>21</v>
      </c>
      <c r="AP276" s="775"/>
    </row>
    <row r="277" spans="1:42" s="141" customFormat="1" ht="14.25" customHeight="1">
      <c r="A277" s="848"/>
      <c r="B277" s="848"/>
      <c r="C277" s="861"/>
      <c r="D277" s="848"/>
      <c r="E277" s="848"/>
      <c r="F277" s="859"/>
      <c r="G277" s="851"/>
      <c r="H277" s="857"/>
      <c r="I277" s="547" t="s">
        <v>879</v>
      </c>
      <c r="J277" s="658">
        <f>VLOOKUP($I277,Prices!A:B,2,0)</f>
        <v>1</v>
      </c>
      <c r="K277" s="790">
        <f>VLOOKUP(I277,Prices!A:C,3,0)</f>
        <v>0</v>
      </c>
      <c r="L277" s="641">
        <v>600</v>
      </c>
      <c r="M277" s="641">
        <v>600</v>
      </c>
      <c r="N277" s="640">
        <f>VLOOKUP($I277,Prices!A:D,4,0)</f>
        <v>11.99</v>
      </c>
      <c r="O277" s="772" t="s">
        <v>194</v>
      </c>
      <c r="P277" s="793" t="s">
        <v>194</v>
      </c>
      <c r="Q277" s="851"/>
      <c r="R277" s="851"/>
      <c r="S277" s="853"/>
      <c r="T277" s="852"/>
      <c r="U277" s="855"/>
      <c r="V277" s="855"/>
      <c r="W277" s="855"/>
      <c r="X277" s="904"/>
      <c r="Y277" s="852"/>
      <c r="Z277" s="852"/>
      <c r="AA277" s="910"/>
      <c r="AB277" s="820" t="s">
        <v>21</v>
      </c>
      <c r="AC277" s="820" t="s">
        <v>21</v>
      </c>
      <c r="AD277" s="820" t="s">
        <v>21</v>
      </c>
      <c r="AE277" s="820" t="s">
        <v>21</v>
      </c>
      <c r="AF277" s="820" t="s">
        <v>21</v>
      </c>
      <c r="AG277" s="820" t="s">
        <v>21</v>
      </c>
      <c r="AH277" s="820" t="s">
        <v>21</v>
      </c>
      <c r="AI277" s="820" t="s">
        <v>21</v>
      </c>
      <c r="AJ277" s="820" t="s">
        <v>21</v>
      </c>
      <c r="AK277" s="820" t="s">
        <v>21</v>
      </c>
      <c r="AL277" s="820" t="s">
        <v>21</v>
      </c>
      <c r="AM277" s="820" t="s">
        <v>21</v>
      </c>
      <c r="AN277" s="820" t="s">
        <v>21</v>
      </c>
      <c r="AO277" s="820" t="s">
        <v>21</v>
      </c>
      <c r="AP277" s="775"/>
    </row>
    <row r="278" spans="1:42" s="141" customFormat="1" ht="14.25" customHeight="1">
      <c r="A278" s="848"/>
      <c r="B278" s="848"/>
      <c r="C278" s="861"/>
      <c r="D278" s="848"/>
      <c r="E278" s="848"/>
      <c r="F278" s="859"/>
      <c r="G278" s="851"/>
      <c r="H278" s="857"/>
      <c r="I278" s="547" t="s">
        <v>880</v>
      </c>
      <c r="J278" s="658">
        <f>VLOOKUP($I278,Prices!A:B,2,0)</f>
        <v>1</v>
      </c>
      <c r="K278" s="790">
        <f>VLOOKUP(I278,Prices!A:C,3,0)</f>
        <v>0</v>
      </c>
      <c r="L278" s="641">
        <v>1</v>
      </c>
      <c r="M278" s="641">
        <v>1</v>
      </c>
      <c r="N278" s="640">
        <f>VLOOKUP($I278,Prices!A:D,4,0)</f>
        <v>126.69</v>
      </c>
      <c r="O278" s="772" t="s">
        <v>194</v>
      </c>
      <c r="P278" s="793" t="s">
        <v>194</v>
      </c>
      <c r="Q278" s="851"/>
      <c r="R278" s="851"/>
      <c r="S278" s="853"/>
      <c r="T278" s="852"/>
      <c r="U278" s="855"/>
      <c r="V278" s="855"/>
      <c r="W278" s="855"/>
      <c r="X278" s="904"/>
      <c r="Y278" s="852"/>
      <c r="Z278" s="852"/>
      <c r="AA278" s="910"/>
      <c r="AB278" s="820" t="s">
        <v>21</v>
      </c>
      <c r="AC278" s="820" t="s">
        <v>21</v>
      </c>
      <c r="AD278" s="820" t="s">
        <v>21</v>
      </c>
      <c r="AE278" s="820" t="s">
        <v>21</v>
      </c>
      <c r="AF278" s="820" t="s">
        <v>21</v>
      </c>
      <c r="AG278" s="820" t="s">
        <v>21</v>
      </c>
      <c r="AH278" s="820" t="s">
        <v>21</v>
      </c>
      <c r="AI278" s="820" t="s">
        <v>21</v>
      </c>
      <c r="AJ278" s="820" t="s">
        <v>21</v>
      </c>
      <c r="AK278" s="820" t="s">
        <v>21</v>
      </c>
      <c r="AL278" s="820" t="s">
        <v>21</v>
      </c>
      <c r="AM278" s="820" t="s">
        <v>21</v>
      </c>
      <c r="AN278" s="820" t="s">
        <v>21</v>
      </c>
      <c r="AO278" s="820" t="s">
        <v>21</v>
      </c>
      <c r="AP278" s="775"/>
    </row>
    <row r="279" spans="1:42" s="141" customFormat="1" ht="14.25" customHeight="1">
      <c r="A279" s="848"/>
      <c r="B279" s="848"/>
      <c r="C279" s="861"/>
      <c r="D279" s="848"/>
      <c r="E279" s="848"/>
      <c r="F279" s="859"/>
      <c r="G279" s="851"/>
      <c r="H279" s="857"/>
      <c r="I279" s="547" t="s">
        <v>881</v>
      </c>
      <c r="J279" s="658">
        <f>VLOOKUP($I279,Prices!A:B,2,0)</f>
        <v>1</v>
      </c>
      <c r="K279" s="790">
        <f>VLOOKUP(I279,Prices!A:C,3,0)</f>
        <v>0</v>
      </c>
      <c r="L279" s="641">
        <v>3000</v>
      </c>
      <c r="M279" s="641">
        <v>3000</v>
      </c>
      <c r="N279" s="640">
        <f>VLOOKUP($I279,Prices!A:D,4,0)</f>
        <v>50</v>
      </c>
      <c r="O279" s="772">
        <f t="shared" si="23"/>
        <v>150000</v>
      </c>
      <c r="P279" s="793">
        <f t="shared" si="22"/>
        <v>150000</v>
      </c>
      <c r="Q279" s="851"/>
      <c r="R279" s="851"/>
      <c r="S279" s="853"/>
      <c r="T279" s="852"/>
      <c r="U279" s="855"/>
      <c r="V279" s="855"/>
      <c r="W279" s="855"/>
      <c r="X279" s="904"/>
      <c r="Y279" s="852"/>
      <c r="Z279" s="852"/>
      <c r="AA279" s="910"/>
      <c r="AB279" s="820" t="s">
        <v>21</v>
      </c>
      <c r="AC279" s="820" t="s">
        <v>21</v>
      </c>
      <c r="AD279" s="820" t="s">
        <v>21</v>
      </c>
      <c r="AE279" s="820" t="s">
        <v>21</v>
      </c>
      <c r="AF279" s="820" t="s">
        <v>21</v>
      </c>
      <c r="AG279" s="820" t="s">
        <v>21</v>
      </c>
      <c r="AH279" s="820" t="s">
        <v>21</v>
      </c>
      <c r="AI279" s="820" t="s">
        <v>21</v>
      </c>
      <c r="AJ279" s="820" t="s">
        <v>21</v>
      </c>
      <c r="AK279" s="820" t="s">
        <v>21</v>
      </c>
      <c r="AL279" s="820" t="s">
        <v>21</v>
      </c>
      <c r="AM279" s="820" t="s">
        <v>21</v>
      </c>
      <c r="AN279" s="820" t="s">
        <v>21</v>
      </c>
      <c r="AO279" s="820" t="s">
        <v>21</v>
      </c>
      <c r="AP279" s="775"/>
    </row>
    <row r="280" spans="1:42" s="141" customFormat="1" ht="14.25" customHeight="1">
      <c r="A280" s="848"/>
      <c r="B280" s="848"/>
      <c r="C280" s="861"/>
      <c r="D280" s="848"/>
      <c r="E280" s="848"/>
      <c r="F280" s="859"/>
      <c r="G280" s="851"/>
      <c r="H280" s="857"/>
      <c r="I280" s="547" t="s">
        <v>882</v>
      </c>
      <c r="J280" s="658">
        <f>VLOOKUP($I280,Prices!A:B,2,0)</f>
        <v>1</v>
      </c>
      <c r="K280" s="790">
        <f>VLOOKUP(I280,Prices!A:C,3,0)</f>
        <v>0</v>
      </c>
      <c r="L280" s="641">
        <v>5000</v>
      </c>
      <c r="M280" s="641">
        <v>5000</v>
      </c>
      <c r="N280" s="640">
        <f>VLOOKUP($I280,Prices!A:D,4,0)</f>
        <v>36.799999999999997</v>
      </c>
      <c r="O280" s="772">
        <f t="shared" si="23"/>
        <v>184000</v>
      </c>
      <c r="P280" s="793">
        <f t="shared" si="22"/>
        <v>184000</v>
      </c>
      <c r="Q280" s="851"/>
      <c r="R280" s="851"/>
      <c r="S280" s="853"/>
      <c r="T280" s="852"/>
      <c r="U280" s="855"/>
      <c r="V280" s="855"/>
      <c r="W280" s="855"/>
      <c r="X280" s="904"/>
      <c r="Y280" s="852"/>
      <c r="Z280" s="852"/>
      <c r="AA280" s="910"/>
      <c r="AB280" s="820" t="s">
        <v>21</v>
      </c>
      <c r="AC280" s="820" t="s">
        <v>21</v>
      </c>
      <c r="AD280" s="820" t="s">
        <v>21</v>
      </c>
      <c r="AE280" s="820" t="s">
        <v>21</v>
      </c>
      <c r="AF280" s="820" t="s">
        <v>21</v>
      </c>
      <c r="AG280" s="820" t="s">
        <v>21</v>
      </c>
      <c r="AH280" s="820" t="s">
        <v>21</v>
      </c>
      <c r="AI280" s="820" t="s">
        <v>21</v>
      </c>
      <c r="AJ280" s="820" t="s">
        <v>21</v>
      </c>
      <c r="AK280" s="820" t="s">
        <v>21</v>
      </c>
      <c r="AL280" s="820" t="s">
        <v>21</v>
      </c>
      <c r="AM280" s="820" t="s">
        <v>21</v>
      </c>
      <c r="AN280" s="820" t="s">
        <v>21</v>
      </c>
      <c r="AO280" s="820" t="s">
        <v>21</v>
      </c>
      <c r="AP280" s="775"/>
    </row>
    <row r="281" spans="1:42" s="141" customFormat="1" ht="14.25" customHeight="1">
      <c r="A281" s="848"/>
      <c r="B281" s="848"/>
      <c r="C281" s="861"/>
      <c r="D281" s="848"/>
      <c r="E281" s="848"/>
      <c r="F281" s="859"/>
      <c r="G281" s="851"/>
      <c r="H281" s="857"/>
      <c r="I281" s="547" t="s">
        <v>883</v>
      </c>
      <c r="J281" s="658">
        <f>VLOOKUP($I281,Prices!A:B,2,0)</f>
        <v>1</v>
      </c>
      <c r="K281" s="790">
        <f>VLOOKUP(I281,Prices!A:C,3,0)</f>
        <v>0</v>
      </c>
      <c r="L281" s="641">
        <v>1</v>
      </c>
      <c r="M281" s="641">
        <v>1</v>
      </c>
      <c r="N281" s="640">
        <f>VLOOKUP($I281,Prices!A:D,4,0)</f>
        <v>5578947.4000000004</v>
      </c>
      <c r="O281" s="772">
        <f t="shared" si="23"/>
        <v>5578947.4000000004</v>
      </c>
      <c r="P281" s="793">
        <f t="shared" si="22"/>
        <v>5578947.4000000004</v>
      </c>
      <c r="Q281" s="851"/>
      <c r="R281" s="851"/>
      <c r="S281" s="853"/>
      <c r="T281" s="852"/>
      <c r="U281" s="855"/>
      <c r="V281" s="855"/>
      <c r="W281" s="855"/>
      <c r="X281" s="904"/>
      <c r="Y281" s="852"/>
      <c r="Z281" s="852"/>
      <c r="AA281" s="910"/>
      <c r="AB281" s="820" t="s">
        <v>21</v>
      </c>
      <c r="AC281" s="820" t="s">
        <v>21</v>
      </c>
      <c r="AD281" s="820" t="s">
        <v>21</v>
      </c>
      <c r="AE281" s="820" t="s">
        <v>21</v>
      </c>
      <c r="AF281" s="820" t="s">
        <v>21</v>
      </c>
      <c r="AG281" s="820" t="s">
        <v>21</v>
      </c>
      <c r="AH281" s="820" t="s">
        <v>21</v>
      </c>
      <c r="AI281" s="820" t="s">
        <v>21</v>
      </c>
      <c r="AJ281" s="820" t="s">
        <v>21</v>
      </c>
      <c r="AK281" s="820" t="s">
        <v>21</v>
      </c>
      <c r="AL281" s="820" t="s">
        <v>21</v>
      </c>
      <c r="AM281" s="820" t="s">
        <v>21</v>
      </c>
      <c r="AN281" s="820" t="s">
        <v>21</v>
      </c>
      <c r="AO281" s="820" t="s">
        <v>21</v>
      </c>
      <c r="AP281" s="775"/>
    </row>
    <row r="282" spans="1:42" s="141" customFormat="1" ht="14.25" customHeight="1">
      <c r="A282" s="848"/>
      <c r="B282" s="848"/>
      <c r="C282" s="861"/>
      <c r="D282" s="848"/>
      <c r="E282" s="848"/>
      <c r="F282" s="859"/>
      <c r="G282" s="851"/>
      <c r="H282" s="857"/>
      <c r="I282" s="547" t="s">
        <v>884</v>
      </c>
      <c r="J282" s="658">
        <f>VLOOKUP($I282,Prices!A:B,2,0)</f>
        <v>1</v>
      </c>
      <c r="K282" s="790">
        <f>VLOOKUP(I282,Prices!A:C,3,0)</f>
        <v>0</v>
      </c>
      <c r="L282" s="641">
        <v>165</v>
      </c>
      <c r="M282" s="641">
        <v>165</v>
      </c>
      <c r="N282" s="640">
        <f>VLOOKUP($I282,Prices!A:D,4,0)</f>
        <v>11.95</v>
      </c>
      <c r="O282" s="772" t="s">
        <v>194</v>
      </c>
      <c r="P282" s="793" t="s">
        <v>194</v>
      </c>
      <c r="Q282" s="851"/>
      <c r="R282" s="851"/>
      <c r="S282" s="853"/>
      <c r="T282" s="852"/>
      <c r="U282" s="855"/>
      <c r="V282" s="855"/>
      <c r="W282" s="855"/>
      <c r="X282" s="904"/>
      <c r="Y282" s="852"/>
      <c r="Z282" s="852"/>
      <c r="AA282" s="910"/>
      <c r="AB282" s="820" t="s">
        <v>21</v>
      </c>
      <c r="AC282" s="820" t="s">
        <v>21</v>
      </c>
      <c r="AD282" s="820" t="s">
        <v>21</v>
      </c>
      <c r="AE282" s="820" t="s">
        <v>21</v>
      </c>
      <c r="AF282" s="820" t="s">
        <v>21</v>
      </c>
      <c r="AG282" s="820" t="s">
        <v>21</v>
      </c>
      <c r="AH282" s="820" t="s">
        <v>21</v>
      </c>
      <c r="AI282" s="820" t="s">
        <v>21</v>
      </c>
      <c r="AJ282" s="820" t="s">
        <v>21</v>
      </c>
      <c r="AK282" s="820" t="s">
        <v>21</v>
      </c>
      <c r="AL282" s="820" t="s">
        <v>21</v>
      </c>
      <c r="AM282" s="820" t="s">
        <v>21</v>
      </c>
      <c r="AN282" s="820" t="s">
        <v>21</v>
      </c>
      <c r="AO282" s="820" t="s">
        <v>21</v>
      </c>
      <c r="AP282" s="775"/>
    </row>
    <row r="283" spans="1:42" s="141" customFormat="1" ht="14.25" customHeight="1">
      <c r="A283" s="848"/>
      <c r="B283" s="848"/>
      <c r="C283" s="861"/>
      <c r="D283" s="848"/>
      <c r="E283" s="848"/>
      <c r="F283" s="859"/>
      <c r="G283" s="851"/>
      <c r="H283" s="857"/>
      <c r="I283" s="547" t="s">
        <v>885</v>
      </c>
      <c r="J283" s="658">
        <f>VLOOKUP($I283,Prices!A:B,2,0)</f>
        <v>1</v>
      </c>
      <c r="K283" s="790">
        <f>VLOOKUP(I283,Prices!A:C,3,0)</f>
        <v>0</v>
      </c>
      <c r="L283" s="641" t="s">
        <v>224</v>
      </c>
      <c r="M283" s="641" t="s">
        <v>224</v>
      </c>
      <c r="N283" s="640" t="str">
        <f>VLOOKUP($I283,Prices!A:D,4,0)</f>
        <v>.</v>
      </c>
      <c r="O283" s="772" t="s">
        <v>194</v>
      </c>
      <c r="P283" s="793" t="s">
        <v>194</v>
      </c>
      <c r="Q283" s="851"/>
      <c r="R283" s="851"/>
      <c r="S283" s="853"/>
      <c r="T283" s="852"/>
      <c r="U283" s="855"/>
      <c r="V283" s="855"/>
      <c r="W283" s="855"/>
      <c r="X283" s="904"/>
      <c r="Y283" s="852"/>
      <c r="Z283" s="852"/>
      <c r="AA283" s="910"/>
      <c r="AB283" s="820" t="s">
        <v>21</v>
      </c>
      <c r="AC283" s="820" t="s">
        <v>21</v>
      </c>
      <c r="AD283" s="820" t="s">
        <v>21</v>
      </c>
      <c r="AE283" s="820" t="s">
        <v>21</v>
      </c>
      <c r="AF283" s="820" t="s">
        <v>21</v>
      </c>
      <c r="AG283" s="820" t="s">
        <v>21</v>
      </c>
      <c r="AH283" s="820" t="s">
        <v>21</v>
      </c>
      <c r="AI283" s="820" t="s">
        <v>21</v>
      </c>
      <c r="AJ283" s="820" t="s">
        <v>21</v>
      </c>
      <c r="AK283" s="820" t="s">
        <v>21</v>
      </c>
      <c r="AL283" s="820" t="s">
        <v>21</v>
      </c>
      <c r="AM283" s="820" t="s">
        <v>21</v>
      </c>
      <c r="AN283" s="820" t="s">
        <v>21</v>
      </c>
      <c r="AO283" s="820" t="s">
        <v>21</v>
      </c>
      <c r="AP283" s="775"/>
    </row>
    <row r="284" spans="1:42" s="141" customFormat="1" ht="14.25" customHeight="1">
      <c r="A284" s="848"/>
      <c r="B284" s="848"/>
      <c r="C284" s="861"/>
      <c r="D284" s="848"/>
      <c r="E284" s="848"/>
      <c r="F284" s="859"/>
      <c r="G284" s="851"/>
      <c r="H284" s="857"/>
      <c r="I284" s="547" t="s">
        <v>687</v>
      </c>
      <c r="J284" s="658">
        <f>VLOOKUP($I284,Prices!A:B,2,0)</f>
        <v>1</v>
      </c>
      <c r="K284" s="790">
        <f>VLOOKUP(I284,Prices!A:C,3,0)</f>
        <v>0</v>
      </c>
      <c r="L284" s="641">
        <v>38</v>
      </c>
      <c r="M284" s="641">
        <v>38</v>
      </c>
      <c r="N284" s="640" t="str">
        <f>VLOOKUP($I284,Prices!A:D,4,0)</f>
        <v>.</v>
      </c>
      <c r="O284" s="772" t="s">
        <v>194</v>
      </c>
      <c r="P284" s="793" t="s">
        <v>194</v>
      </c>
      <c r="Q284" s="851"/>
      <c r="R284" s="851"/>
      <c r="S284" s="853"/>
      <c r="T284" s="852"/>
      <c r="U284" s="855"/>
      <c r="V284" s="855"/>
      <c r="W284" s="855"/>
      <c r="X284" s="904"/>
      <c r="Y284" s="852"/>
      <c r="Z284" s="852"/>
      <c r="AA284" s="910"/>
      <c r="AB284" s="820" t="s">
        <v>21</v>
      </c>
      <c r="AC284" s="820" t="s">
        <v>21</v>
      </c>
      <c r="AD284" s="820" t="s">
        <v>21</v>
      </c>
      <c r="AE284" s="820" t="s">
        <v>21</v>
      </c>
      <c r="AF284" s="820" t="s">
        <v>21</v>
      </c>
      <c r="AG284" s="820" t="s">
        <v>21</v>
      </c>
      <c r="AH284" s="820" t="s">
        <v>21</v>
      </c>
      <c r="AI284" s="820" t="s">
        <v>21</v>
      </c>
      <c r="AJ284" s="820" t="s">
        <v>21</v>
      </c>
      <c r="AK284" s="820" t="s">
        <v>21</v>
      </c>
      <c r="AL284" s="820" t="s">
        <v>21</v>
      </c>
      <c r="AM284" s="820" t="s">
        <v>21</v>
      </c>
      <c r="AN284" s="820" t="s">
        <v>21</v>
      </c>
      <c r="AO284" s="820" t="s">
        <v>21</v>
      </c>
      <c r="AP284" s="775"/>
    </row>
    <row r="285" spans="1:42" s="141" customFormat="1" ht="14.25" customHeight="1">
      <c r="A285" s="848"/>
      <c r="B285" s="848"/>
      <c r="C285" s="861"/>
      <c r="D285" s="848"/>
      <c r="E285" s="848"/>
      <c r="F285" s="859"/>
      <c r="G285" s="851"/>
      <c r="H285" s="857"/>
      <c r="I285" s="547" t="s">
        <v>886</v>
      </c>
      <c r="J285" s="658">
        <f>VLOOKUP($I285,Prices!A:B,2,0)</f>
        <v>1</v>
      </c>
      <c r="K285" s="790">
        <f>VLOOKUP(I285,Prices!A:C,3,0)</f>
        <v>0</v>
      </c>
      <c r="L285" s="641" t="s">
        <v>224</v>
      </c>
      <c r="M285" s="641" t="s">
        <v>224</v>
      </c>
      <c r="N285" s="640" t="str">
        <f>VLOOKUP($I285,Prices!A:D,4,0)</f>
        <v>.</v>
      </c>
      <c r="O285" s="772" t="s">
        <v>194</v>
      </c>
      <c r="P285" s="793" t="s">
        <v>194</v>
      </c>
      <c r="Q285" s="851"/>
      <c r="R285" s="851"/>
      <c r="S285" s="853"/>
      <c r="T285" s="852"/>
      <c r="U285" s="855"/>
      <c r="V285" s="855"/>
      <c r="W285" s="855"/>
      <c r="X285" s="904"/>
      <c r="Y285" s="852"/>
      <c r="Z285" s="852"/>
      <c r="AA285" s="910"/>
      <c r="AB285" s="820" t="s">
        <v>21</v>
      </c>
      <c r="AC285" s="820" t="s">
        <v>21</v>
      </c>
      <c r="AD285" s="820" t="s">
        <v>21</v>
      </c>
      <c r="AE285" s="820" t="s">
        <v>21</v>
      </c>
      <c r="AF285" s="820" t="s">
        <v>21</v>
      </c>
      <c r="AG285" s="820" t="s">
        <v>21</v>
      </c>
      <c r="AH285" s="820" t="s">
        <v>21</v>
      </c>
      <c r="AI285" s="820" t="s">
        <v>21</v>
      </c>
      <c r="AJ285" s="820" t="s">
        <v>21</v>
      </c>
      <c r="AK285" s="820" t="s">
        <v>21</v>
      </c>
      <c r="AL285" s="820" t="s">
        <v>21</v>
      </c>
      <c r="AM285" s="820" t="s">
        <v>21</v>
      </c>
      <c r="AN285" s="820" t="s">
        <v>21</v>
      </c>
      <c r="AO285" s="820" t="s">
        <v>21</v>
      </c>
      <c r="AP285" s="775"/>
    </row>
    <row r="286" spans="1:42" s="141" customFormat="1" ht="14.25" customHeight="1">
      <c r="A286" s="848"/>
      <c r="B286" s="848"/>
      <c r="C286" s="861"/>
      <c r="D286" s="848"/>
      <c r="E286" s="848"/>
      <c r="F286" s="859"/>
      <c r="G286" s="851"/>
      <c r="H286" s="857"/>
      <c r="I286" s="547" t="s">
        <v>887</v>
      </c>
      <c r="J286" s="658">
        <f>VLOOKUP($I286,Prices!A:B,2,0)</f>
        <v>1</v>
      </c>
      <c r="K286" s="790">
        <f>VLOOKUP(I286,Prices!A:C,3,0)</f>
        <v>0</v>
      </c>
      <c r="L286" s="641">
        <v>10</v>
      </c>
      <c r="M286" s="641">
        <v>10</v>
      </c>
      <c r="N286" s="640">
        <f>VLOOKUP($I286,Prices!A:D,4,0)</f>
        <v>1153.7</v>
      </c>
      <c r="O286" s="772">
        <f t="shared" si="23"/>
        <v>11537</v>
      </c>
      <c r="P286" s="793">
        <f t="shared" si="22"/>
        <v>11537</v>
      </c>
      <c r="Q286" s="851"/>
      <c r="R286" s="851"/>
      <c r="S286" s="853"/>
      <c r="T286" s="852"/>
      <c r="U286" s="855"/>
      <c r="V286" s="855"/>
      <c r="W286" s="855"/>
      <c r="X286" s="904"/>
      <c r="Y286" s="852"/>
      <c r="Z286" s="852"/>
      <c r="AA286" s="910"/>
      <c r="AB286" s="820" t="s">
        <v>21</v>
      </c>
      <c r="AC286" s="820" t="s">
        <v>21</v>
      </c>
      <c r="AD286" s="820" t="s">
        <v>21</v>
      </c>
      <c r="AE286" s="820" t="s">
        <v>21</v>
      </c>
      <c r="AF286" s="820" t="s">
        <v>21</v>
      </c>
      <c r="AG286" s="820" t="s">
        <v>21</v>
      </c>
      <c r="AH286" s="820" t="s">
        <v>21</v>
      </c>
      <c r="AI286" s="820" t="s">
        <v>21</v>
      </c>
      <c r="AJ286" s="820" t="s">
        <v>21</v>
      </c>
      <c r="AK286" s="820" t="s">
        <v>21</v>
      </c>
      <c r="AL286" s="820" t="s">
        <v>21</v>
      </c>
      <c r="AM286" s="820" t="s">
        <v>21</v>
      </c>
      <c r="AN286" s="820" t="s">
        <v>21</v>
      </c>
      <c r="AO286" s="820" t="s">
        <v>21</v>
      </c>
      <c r="AP286" s="775"/>
    </row>
    <row r="287" spans="1:42" s="141" customFormat="1" ht="14.25" customHeight="1">
      <c r="A287" s="848"/>
      <c r="B287" s="848"/>
      <c r="C287" s="861"/>
      <c r="D287" s="848"/>
      <c r="E287" s="848"/>
      <c r="F287" s="859"/>
      <c r="G287" s="851"/>
      <c r="H287" s="857"/>
      <c r="I287" s="547" t="s">
        <v>290</v>
      </c>
      <c r="J287" s="658">
        <f>VLOOKUP($I287,Prices!A:B,2,0)</f>
        <v>1</v>
      </c>
      <c r="K287" s="790">
        <f>VLOOKUP(I287,Prices!A:C,3,0)</f>
        <v>0</v>
      </c>
      <c r="L287" s="641">
        <v>500</v>
      </c>
      <c r="M287" s="641">
        <v>500</v>
      </c>
      <c r="N287" s="640">
        <f>VLOOKUP($I287,Prices!A:D,4,0)</f>
        <v>0.56999999999999995</v>
      </c>
      <c r="O287" s="772" t="s">
        <v>194</v>
      </c>
      <c r="P287" s="793" t="s">
        <v>194</v>
      </c>
      <c r="Q287" s="851"/>
      <c r="R287" s="851"/>
      <c r="S287" s="853"/>
      <c r="T287" s="852"/>
      <c r="U287" s="855"/>
      <c r="V287" s="855"/>
      <c r="W287" s="855"/>
      <c r="X287" s="904"/>
      <c r="Y287" s="852"/>
      <c r="Z287" s="852"/>
      <c r="AA287" s="910"/>
      <c r="AB287" s="820" t="s">
        <v>21</v>
      </c>
      <c r="AC287" s="820" t="s">
        <v>21</v>
      </c>
      <c r="AD287" s="820" t="s">
        <v>21</v>
      </c>
      <c r="AE287" s="820" t="s">
        <v>21</v>
      </c>
      <c r="AF287" s="820" t="s">
        <v>21</v>
      </c>
      <c r="AG287" s="820" t="s">
        <v>21</v>
      </c>
      <c r="AH287" s="820" t="s">
        <v>21</v>
      </c>
      <c r="AI287" s="820" t="s">
        <v>21</v>
      </c>
      <c r="AJ287" s="820" t="s">
        <v>21</v>
      </c>
      <c r="AK287" s="820" t="s">
        <v>21</v>
      </c>
      <c r="AL287" s="820" t="s">
        <v>21</v>
      </c>
      <c r="AM287" s="820" t="s">
        <v>21</v>
      </c>
      <c r="AN287" s="820" t="s">
        <v>21</v>
      </c>
      <c r="AO287" s="820" t="s">
        <v>21</v>
      </c>
      <c r="AP287" s="775"/>
    </row>
    <row r="288" spans="1:42" s="141" customFormat="1" ht="14.25" customHeight="1">
      <c r="A288" s="848"/>
      <c r="B288" s="848"/>
      <c r="C288" s="861"/>
      <c r="D288" s="848"/>
      <c r="E288" s="848"/>
      <c r="F288" s="859"/>
      <c r="G288" s="851"/>
      <c r="H288" s="857"/>
      <c r="I288" s="547" t="s">
        <v>669</v>
      </c>
      <c r="J288" s="658">
        <f>VLOOKUP($I288,Prices!A:B,2,0)</f>
        <v>1</v>
      </c>
      <c r="K288" s="790">
        <f>VLOOKUP(I288,Prices!A:C,3,0)</f>
        <v>0</v>
      </c>
      <c r="L288" s="641">
        <v>500</v>
      </c>
      <c r="M288" s="641">
        <v>500</v>
      </c>
      <c r="N288" s="640">
        <f>VLOOKUP($I288,Prices!A:D,4,0)</f>
        <v>22</v>
      </c>
      <c r="O288" s="772">
        <f t="shared" si="23"/>
        <v>11000</v>
      </c>
      <c r="P288" s="793">
        <f t="shared" si="22"/>
        <v>11000</v>
      </c>
      <c r="Q288" s="851"/>
      <c r="R288" s="851"/>
      <c r="S288" s="853"/>
      <c r="T288" s="852"/>
      <c r="U288" s="855"/>
      <c r="V288" s="855"/>
      <c r="W288" s="855"/>
      <c r="X288" s="904"/>
      <c r="Y288" s="852"/>
      <c r="Z288" s="852"/>
      <c r="AA288" s="910"/>
      <c r="AB288" s="820" t="s">
        <v>21</v>
      </c>
      <c r="AC288" s="820" t="s">
        <v>21</v>
      </c>
      <c r="AD288" s="820" t="s">
        <v>21</v>
      </c>
      <c r="AE288" s="820" t="s">
        <v>21</v>
      </c>
      <c r="AF288" s="820" t="s">
        <v>21</v>
      </c>
      <c r="AG288" s="820" t="s">
        <v>21</v>
      </c>
      <c r="AH288" s="820" t="s">
        <v>21</v>
      </c>
      <c r="AI288" s="820" t="s">
        <v>21</v>
      </c>
      <c r="AJ288" s="820" t="s">
        <v>21</v>
      </c>
      <c r="AK288" s="820" t="s">
        <v>21</v>
      </c>
      <c r="AL288" s="820" t="s">
        <v>21</v>
      </c>
      <c r="AM288" s="820" t="s">
        <v>21</v>
      </c>
      <c r="AN288" s="820" t="s">
        <v>21</v>
      </c>
      <c r="AO288" s="820" t="s">
        <v>21</v>
      </c>
      <c r="AP288" s="775"/>
    </row>
    <row r="289" spans="1:42" s="141" customFormat="1" ht="14.25" customHeight="1">
      <c r="A289" s="848"/>
      <c r="B289" s="848"/>
      <c r="C289" s="861"/>
      <c r="D289" s="848"/>
      <c r="E289" s="848"/>
      <c r="F289" s="859"/>
      <c r="G289" s="851"/>
      <c r="H289" s="857"/>
      <c r="I289" s="547" t="s">
        <v>888</v>
      </c>
      <c r="J289" s="658">
        <f>VLOOKUP($I289,Prices!A:B,2,0)</f>
        <v>1</v>
      </c>
      <c r="K289" s="790">
        <f>VLOOKUP(I289,Prices!A:C,3,0)</f>
        <v>0</v>
      </c>
      <c r="L289" s="641" t="s">
        <v>224</v>
      </c>
      <c r="M289" s="641" t="s">
        <v>224</v>
      </c>
      <c r="N289" s="640" t="str">
        <f>VLOOKUP($I289,Prices!A:D,4,0)</f>
        <v>.</v>
      </c>
      <c r="O289" s="772" t="s">
        <v>194</v>
      </c>
      <c r="P289" s="793" t="s">
        <v>194</v>
      </c>
      <c r="Q289" s="851"/>
      <c r="R289" s="851"/>
      <c r="S289" s="853"/>
      <c r="T289" s="852"/>
      <c r="U289" s="855"/>
      <c r="V289" s="855"/>
      <c r="W289" s="855"/>
      <c r="X289" s="904"/>
      <c r="Y289" s="852"/>
      <c r="Z289" s="852"/>
      <c r="AA289" s="910"/>
      <c r="AB289" s="820" t="s">
        <v>21</v>
      </c>
      <c r="AC289" s="820" t="s">
        <v>21</v>
      </c>
      <c r="AD289" s="820" t="s">
        <v>21</v>
      </c>
      <c r="AE289" s="820" t="s">
        <v>21</v>
      </c>
      <c r="AF289" s="820" t="s">
        <v>21</v>
      </c>
      <c r="AG289" s="820" t="s">
        <v>21</v>
      </c>
      <c r="AH289" s="820" t="s">
        <v>21</v>
      </c>
      <c r="AI289" s="820" t="s">
        <v>21</v>
      </c>
      <c r="AJ289" s="820" t="s">
        <v>21</v>
      </c>
      <c r="AK289" s="820" t="s">
        <v>21</v>
      </c>
      <c r="AL289" s="820" t="s">
        <v>21</v>
      </c>
      <c r="AM289" s="820" t="s">
        <v>21</v>
      </c>
      <c r="AN289" s="820" t="s">
        <v>21</v>
      </c>
      <c r="AO289" s="820" t="s">
        <v>21</v>
      </c>
      <c r="AP289" s="775"/>
    </row>
    <row r="290" spans="1:42" s="141" customFormat="1" ht="14.25" customHeight="1">
      <c r="A290" s="848"/>
      <c r="B290" s="848"/>
      <c r="C290" s="861"/>
      <c r="D290" s="848"/>
      <c r="E290" s="848"/>
      <c r="F290" s="859"/>
      <c r="G290" s="851"/>
      <c r="H290" s="857"/>
      <c r="I290" s="547" t="s">
        <v>889</v>
      </c>
      <c r="J290" s="658">
        <f>VLOOKUP($I290,Prices!A:B,2,0)</f>
        <v>3</v>
      </c>
      <c r="K290" s="790">
        <f>VLOOKUP(I290,Prices!A:C,3,0)</f>
        <v>0</v>
      </c>
      <c r="L290" s="640">
        <v>4</v>
      </c>
      <c r="M290" s="640">
        <v>4</v>
      </c>
      <c r="N290" s="640">
        <f>VLOOKUP($I290,Prices!A:D,4,0)</f>
        <v>5800</v>
      </c>
      <c r="O290" s="772">
        <f t="shared" si="23"/>
        <v>23200</v>
      </c>
      <c r="P290" s="793">
        <f t="shared" si="22"/>
        <v>23200</v>
      </c>
      <c r="Q290" s="851"/>
      <c r="R290" s="851"/>
      <c r="S290" s="853"/>
      <c r="T290" s="852"/>
      <c r="U290" s="855"/>
      <c r="V290" s="855"/>
      <c r="W290" s="855"/>
      <c r="X290" s="904"/>
      <c r="Y290" s="852"/>
      <c r="Z290" s="852"/>
      <c r="AA290" s="910"/>
      <c r="AB290" s="820" t="s">
        <v>21</v>
      </c>
      <c r="AC290" s="820" t="s">
        <v>21</v>
      </c>
      <c r="AD290" s="820" t="s">
        <v>21</v>
      </c>
      <c r="AE290" s="820" t="s">
        <v>21</v>
      </c>
      <c r="AF290" s="820" t="s">
        <v>21</v>
      </c>
      <c r="AG290" s="820" t="s">
        <v>21</v>
      </c>
      <c r="AH290" s="820" t="s">
        <v>21</v>
      </c>
      <c r="AI290" s="820" t="s">
        <v>21</v>
      </c>
      <c r="AJ290" s="820" t="s">
        <v>21</v>
      </c>
      <c r="AK290" s="820" t="s">
        <v>21</v>
      </c>
      <c r="AL290" s="820" t="s">
        <v>21</v>
      </c>
      <c r="AM290" s="820" t="s">
        <v>21</v>
      </c>
      <c r="AN290" s="820" t="s">
        <v>21</v>
      </c>
      <c r="AO290" s="820" t="s">
        <v>21</v>
      </c>
      <c r="AP290" s="775"/>
    </row>
    <row r="291" spans="1:42" s="141" customFormat="1" ht="14.25" customHeight="1">
      <c r="A291" s="848"/>
      <c r="B291" s="848"/>
      <c r="C291" s="861"/>
      <c r="D291" s="848"/>
      <c r="E291" s="848"/>
      <c r="F291" s="859"/>
      <c r="G291" s="851"/>
      <c r="H291" s="857"/>
      <c r="I291" s="547" t="s">
        <v>869</v>
      </c>
      <c r="J291" s="658">
        <f>VLOOKUP($I291,Prices!A:B,2,0)</f>
        <v>1</v>
      </c>
      <c r="K291" s="790">
        <f>VLOOKUP(I291,Prices!A:C,3,0)</f>
        <v>0</v>
      </c>
      <c r="L291" s="640">
        <v>22</v>
      </c>
      <c r="M291" s="640">
        <v>0</v>
      </c>
      <c r="N291" s="640">
        <f>VLOOKUP($I291,Prices!A:D,4,0)</f>
        <v>60000</v>
      </c>
      <c r="O291" s="772">
        <f t="shared" si="23"/>
        <v>1320000</v>
      </c>
      <c r="P291" s="793" t="s">
        <v>194</v>
      </c>
      <c r="Q291" s="851"/>
      <c r="R291" s="851"/>
      <c r="S291" s="853"/>
      <c r="T291" s="852"/>
      <c r="U291" s="855"/>
      <c r="V291" s="855"/>
      <c r="W291" s="855"/>
      <c r="X291" s="904"/>
      <c r="Y291" s="852"/>
      <c r="Z291" s="852"/>
      <c r="AA291" s="910"/>
      <c r="AB291" s="820" t="s">
        <v>21</v>
      </c>
      <c r="AC291" s="820" t="s">
        <v>21</v>
      </c>
      <c r="AD291" s="820" t="s">
        <v>21</v>
      </c>
      <c r="AE291" s="820" t="s">
        <v>21</v>
      </c>
      <c r="AF291" s="820" t="s">
        <v>21</v>
      </c>
      <c r="AG291" s="820" t="s">
        <v>21</v>
      </c>
      <c r="AH291" s="820" t="s">
        <v>21</v>
      </c>
      <c r="AI291" s="820" t="s">
        <v>21</v>
      </c>
      <c r="AJ291" s="820" t="s">
        <v>21</v>
      </c>
      <c r="AK291" s="820" t="s">
        <v>21</v>
      </c>
      <c r="AL291" s="820" t="s">
        <v>21</v>
      </c>
      <c r="AM291" s="820" t="s">
        <v>21</v>
      </c>
      <c r="AN291" s="820" t="s">
        <v>21</v>
      </c>
      <c r="AO291" s="820" t="s">
        <v>21</v>
      </c>
      <c r="AP291" s="775"/>
    </row>
    <row r="292" spans="1:42" s="141" customFormat="1" ht="14.25" customHeight="1">
      <c r="A292" s="848"/>
      <c r="B292" s="848"/>
      <c r="C292" s="861"/>
      <c r="D292" s="848"/>
      <c r="E292" s="848"/>
      <c r="F292" s="859"/>
      <c r="G292" s="851"/>
      <c r="H292" s="857"/>
      <c r="I292" s="547" t="s">
        <v>890</v>
      </c>
      <c r="J292" s="658">
        <f>VLOOKUP($I292,Prices!A:B,2,0)</f>
        <v>4.5</v>
      </c>
      <c r="K292" s="790">
        <f>VLOOKUP(I292,Prices!A:C,3,0)</f>
        <v>0</v>
      </c>
      <c r="L292" s="640">
        <v>5300</v>
      </c>
      <c r="M292" s="640">
        <v>0</v>
      </c>
      <c r="N292" s="640">
        <f>VLOOKUP($I292,Prices!A:D,4,0)</f>
        <v>2000</v>
      </c>
      <c r="O292" s="772">
        <f t="shared" si="23"/>
        <v>10600000</v>
      </c>
      <c r="P292" s="793" t="s">
        <v>194</v>
      </c>
      <c r="Q292" s="851"/>
      <c r="R292" s="851"/>
      <c r="S292" s="853"/>
      <c r="T292" s="852"/>
      <c r="U292" s="855"/>
      <c r="V292" s="855"/>
      <c r="W292" s="855"/>
      <c r="X292" s="904"/>
      <c r="Y292" s="852"/>
      <c r="Z292" s="852"/>
      <c r="AA292" s="910"/>
      <c r="AB292" s="820" t="s">
        <v>21</v>
      </c>
      <c r="AC292" s="820" t="s">
        <v>21</v>
      </c>
      <c r="AD292" s="820" t="s">
        <v>21</v>
      </c>
      <c r="AE292" s="820" t="s">
        <v>21</v>
      </c>
      <c r="AF292" s="820" t="s">
        <v>21</v>
      </c>
      <c r="AG292" s="820" t="s">
        <v>21</v>
      </c>
      <c r="AH292" s="820" t="s">
        <v>21</v>
      </c>
      <c r="AI292" s="820" t="s">
        <v>21</v>
      </c>
      <c r="AJ292" s="820" t="s">
        <v>21</v>
      </c>
      <c r="AK292" s="820" t="s">
        <v>21</v>
      </c>
      <c r="AL292" s="820" t="s">
        <v>21</v>
      </c>
      <c r="AM292" s="820" t="s">
        <v>21</v>
      </c>
      <c r="AN292" s="820" t="s">
        <v>21</v>
      </c>
      <c r="AO292" s="820" t="s">
        <v>21</v>
      </c>
      <c r="AP292" s="775"/>
    </row>
    <row r="293" spans="1:42" s="141" customFormat="1" ht="14.25" customHeight="1">
      <c r="A293" s="848"/>
      <c r="B293" s="848"/>
      <c r="C293" s="861"/>
      <c r="D293" s="848"/>
      <c r="E293" s="848"/>
      <c r="F293" s="859"/>
      <c r="G293" s="851"/>
      <c r="H293" s="857"/>
      <c r="I293" s="547" t="s">
        <v>891</v>
      </c>
      <c r="J293" s="658">
        <f>VLOOKUP($I293,Prices!A:B,2,0)</f>
        <v>4</v>
      </c>
      <c r="K293" s="790">
        <f>VLOOKUP(I293,Prices!A:C,3,0)</f>
        <v>0</v>
      </c>
      <c r="L293" s="640">
        <v>3</v>
      </c>
      <c r="M293" s="640">
        <v>0</v>
      </c>
      <c r="N293" s="640">
        <f>VLOOKUP($I293,Prices!A:D,4,0)</f>
        <v>2300000</v>
      </c>
      <c r="O293" s="772">
        <f t="shared" si="23"/>
        <v>6900000</v>
      </c>
      <c r="P293" s="793" t="s">
        <v>194</v>
      </c>
      <c r="Q293" s="851"/>
      <c r="R293" s="851"/>
      <c r="S293" s="853"/>
      <c r="T293" s="852"/>
      <c r="U293" s="855"/>
      <c r="V293" s="855"/>
      <c r="W293" s="855"/>
      <c r="X293" s="904"/>
      <c r="Y293" s="852"/>
      <c r="Z293" s="852"/>
      <c r="AA293" s="910"/>
      <c r="AB293" s="820" t="s">
        <v>21</v>
      </c>
      <c r="AC293" s="820" t="s">
        <v>21</v>
      </c>
      <c r="AD293" s="820" t="s">
        <v>21</v>
      </c>
      <c r="AE293" s="820" t="s">
        <v>21</v>
      </c>
      <c r="AF293" s="820" t="s">
        <v>21</v>
      </c>
      <c r="AG293" s="820" t="s">
        <v>21</v>
      </c>
      <c r="AH293" s="820" t="s">
        <v>21</v>
      </c>
      <c r="AI293" s="820" t="s">
        <v>21</v>
      </c>
      <c r="AJ293" s="820" t="s">
        <v>21</v>
      </c>
      <c r="AK293" s="820" t="s">
        <v>21</v>
      </c>
      <c r="AL293" s="820" t="s">
        <v>21</v>
      </c>
      <c r="AM293" s="820" t="s">
        <v>21</v>
      </c>
      <c r="AN293" s="820" t="s">
        <v>21</v>
      </c>
      <c r="AO293" s="820" t="s">
        <v>21</v>
      </c>
      <c r="AP293" s="775"/>
    </row>
    <row r="294" spans="1:42" s="141" customFormat="1" ht="14.25" customHeight="1">
      <c r="A294" s="848"/>
      <c r="B294" s="848"/>
      <c r="C294" s="861"/>
      <c r="D294" s="848"/>
      <c r="E294" s="848"/>
      <c r="F294" s="859"/>
      <c r="G294" s="851"/>
      <c r="H294" s="857"/>
      <c r="I294" s="547" t="s">
        <v>892</v>
      </c>
      <c r="J294" s="658">
        <f>VLOOKUP($I294,Prices!A:B,2,0)</f>
        <v>1</v>
      </c>
      <c r="K294" s="790">
        <f>VLOOKUP(I294,Prices!A:C,3,0)</f>
        <v>0</v>
      </c>
      <c r="L294" s="640">
        <v>65</v>
      </c>
      <c r="M294" s="640">
        <v>0</v>
      </c>
      <c r="N294" s="640">
        <f>VLOOKUP($I294,Prices!A:D,4,0)</f>
        <v>1688.6</v>
      </c>
      <c r="O294" s="772" t="s">
        <v>194</v>
      </c>
      <c r="P294" s="793" t="s">
        <v>194</v>
      </c>
      <c r="Q294" s="851"/>
      <c r="R294" s="851"/>
      <c r="S294" s="853"/>
      <c r="T294" s="852"/>
      <c r="U294" s="855"/>
      <c r="V294" s="855"/>
      <c r="W294" s="855"/>
      <c r="X294" s="904"/>
      <c r="Y294" s="852"/>
      <c r="Z294" s="852"/>
      <c r="AA294" s="910"/>
      <c r="AB294" s="820" t="s">
        <v>21</v>
      </c>
      <c r="AC294" s="820" t="s">
        <v>21</v>
      </c>
      <c r="AD294" s="820" t="s">
        <v>21</v>
      </c>
      <c r="AE294" s="820" t="s">
        <v>21</v>
      </c>
      <c r="AF294" s="820" t="s">
        <v>21</v>
      </c>
      <c r="AG294" s="820" t="s">
        <v>21</v>
      </c>
      <c r="AH294" s="820" t="s">
        <v>21</v>
      </c>
      <c r="AI294" s="820" t="s">
        <v>21</v>
      </c>
      <c r="AJ294" s="820" t="s">
        <v>21</v>
      </c>
      <c r="AK294" s="820" t="s">
        <v>21</v>
      </c>
      <c r="AL294" s="820" t="s">
        <v>21</v>
      </c>
      <c r="AM294" s="820" t="s">
        <v>21</v>
      </c>
      <c r="AN294" s="820" t="s">
        <v>21</v>
      </c>
      <c r="AO294" s="820" t="s">
        <v>21</v>
      </c>
      <c r="AP294" s="775"/>
    </row>
    <row r="295" spans="1:42" s="141" customFormat="1" ht="14.25" customHeight="1">
      <c r="A295" s="848"/>
      <c r="B295" s="848"/>
      <c r="C295" s="861"/>
      <c r="D295" s="848"/>
      <c r="E295" s="848"/>
      <c r="F295" s="859"/>
      <c r="G295" s="851"/>
      <c r="H295" s="857"/>
      <c r="I295" s="546" t="s">
        <v>893</v>
      </c>
      <c r="J295" s="658">
        <f>VLOOKUP($I295,Prices!A:B,2,0)</f>
        <v>4</v>
      </c>
      <c r="K295" s="790">
        <f>VLOOKUP(I295,Prices!A:C,3,0)</f>
        <v>0</v>
      </c>
      <c r="L295" s="640">
        <v>54</v>
      </c>
      <c r="M295" s="640">
        <v>0</v>
      </c>
      <c r="N295" s="640" t="str">
        <f>VLOOKUP($I295,Prices!A:D,4,0)</f>
        <v>.</v>
      </c>
      <c r="O295" s="772" t="s">
        <v>194</v>
      </c>
      <c r="P295" s="793" t="s">
        <v>194</v>
      </c>
      <c r="Q295" s="851"/>
      <c r="R295" s="851"/>
      <c r="S295" s="853"/>
      <c r="T295" s="852"/>
      <c r="U295" s="855"/>
      <c r="V295" s="855"/>
      <c r="W295" s="855"/>
      <c r="X295" s="904"/>
      <c r="Y295" s="852"/>
      <c r="Z295" s="852"/>
      <c r="AA295" s="910"/>
      <c r="AB295" s="820" t="s">
        <v>21</v>
      </c>
      <c r="AC295" s="820" t="s">
        <v>21</v>
      </c>
      <c r="AD295" s="820" t="s">
        <v>21</v>
      </c>
      <c r="AE295" s="820" t="s">
        <v>21</v>
      </c>
      <c r="AF295" s="820" t="s">
        <v>21</v>
      </c>
      <c r="AG295" s="820" t="s">
        <v>21</v>
      </c>
      <c r="AH295" s="820" t="s">
        <v>21</v>
      </c>
      <c r="AI295" s="820" t="s">
        <v>21</v>
      </c>
      <c r="AJ295" s="820" t="s">
        <v>21</v>
      </c>
      <c r="AK295" s="820" t="s">
        <v>21</v>
      </c>
      <c r="AL295" s="820" t="s">
        <v>21</v>
      </c>
      <c r="AM295" s="820" t="s">
        <v>21</v>
      </c>
      <c r="AN295" s="820" t="s">
        <v>21</v>
      </c>
      <c r="AO295" s="820" t="s">
        <v>21</v>
      </c>
      <c r="AP295" s="775"/>
    </row>
    <row r="296" spans="1:42" s="141" customFormat="1" ht="14.25" customHeight="1">
      <c r="A296" s="848" t="s">
        <v>894</v>
      </c>
      <c r="B296" s="848" t="s">
        <v>840</v>
      </c>
      <c r="C296" s="751">
        <v>44677</v>
      </c>
      <c r="D296" s="848" t="s">
        <v>212</v>
      </c>
      <c r="E296" s="848" t="s">
        <v>320</v>
      </c>
      <c r="F296" s="859" t="s">
        <v>895</v>
      </c>
      <c r="G296" s="851">
        <v>1200000000</v>
      </c>
      <c r="H296" s="852" t="s">
        <v>278</v>
      </c>
      <c r="I296" s="547" t="s">
        <v>896</v>
      </c>
      <c r="J296" s="658">
        <f>VLOOKUP($I296,Prices!A:B,2,0)</f>
        <v>4</v>
      </c>
      <c r="K296" s="790">
        <f>VLOOKUP(I296,Prices!A:C,3,0)</f>
        <v>0</v>
      </c>
      <c r="L296" s="640">
        <v>30</v>
      </c>
      <c r="M296" s="640">
        <v>0</v>
      </c>
      <c r="N296" s="640">
        <f>VLOOKUP($I296,Prices!A:D,4,0)</f>
        <v>7954000</v>
      </c>
      <c r="O296" s="772">
        <f t="shared" si="23"/>
        <v>238620000</v>
      </c>
      <c r="P296" s="793" t="s">
        <v>194</v>
      </c>
      <c r="Q296" s="851">
        <f>G296</f>
        <v>1200000000</v>
      </c>
      <c r="R296" s="851">
        <f>Q296</f>
        <v>1200000000</v>
      </c>
      <c r="S296" s="853">
        <f>SUM(P296:P313)/VLOOKUP("USD",'Currency Conversion'!B:C,2,0)</f>
        <v>29983045.643939391</v>
      </c>
      <c r="T296" s="852" t="s">
        <v>195</v>
      </c>
      <c r="U296" s="854" t="s">
        <v>858</v>
      </c>
      <c r="V296" s="756" t="s">
        <v>897</v>
      </c>
      <c r="W296" s="752" t="s">
        <v>194</v>
      </c>
      <c r="X296" s="822" t="s">
        <v>194</v>
      </c>
      <c r="Y296" s="852">
        <v>0</v>
      </c>
      <c r="Z296" s="852">
        <v>1</v>
      </c>
      <c r="AA296" s="774" t="s">
        <v>194</v>
      </c>
      <c r="AB296" s="820" t="s">
        <v>21</v>
      </c>
      <c r="AC296" s="820" t="s">
        <v>21</v>
      </c>
      <c r="AD296" s="820" t="s">
        <v>21</v>
      </c>
      <c r="AE296" s="820" t="s">
        <v>21</v>
      </c>
      <c r="AF296" s="820" t="s">
        <v>21</v>
      </c>
      <c r="AG296" s="820" t="s">
        <v>21</v>
      </c>
      <c r="AH296" s="820" t="s">
        <v>21</v>
      </c>
      <c r="AI296" s="820" t="s">
        <v>21</v>
      </c>
      <c r="AJ296" s="820" t="s">
        <v>21</v>
      </c>
      <c r="AK296" s="820" t="s">
        <v>21</v>
      </c>
      <c r="AL296" s="820" t="s">
        <v>21</v>
      </c>
      <c r="AM296" s="820" t="s">
        <v>21</v>
      </c>
      <c r="AN296" s="820" t="s">
        <v>21</v>
      </c>
      <c r="AO296" s="820" t="s">
        <v>21</v>
      </c>
      <c r="AP296" s="775"/>
    </row>
    <row r="297" spans="1:42" s="141" customFormat="1" ht="14.25" customHeight="1">
      <c r="A297" s="848"/>
      <c r="B297" s="848"/>
      <c r="C297" s="751">
        <v>44685</v>
      </c>
      <c r="D297" s="848"/>
      <c r="E297" s="848"/>
      <c r="F297" s="859"/>
      <c r="G297" s="851"/>
      <c r="H297" s="852"/>
      <c r="I297" s="547" t="s">
        <v>898</v>
      </c>
      <c r="J297" s="658">
        <f>VLOOKUP($I297,Prices!A:B,2,0)</f>
        <v>4</v>
      </c>
      <c r="K297" s="790">
        <f>VLOOKUP(I297,Prices!A:C,3,0)</f>
        <v>0</v>
      </c>
      <c r="L297" s="640">
        <v>10</v>
      </c>
      <c r="M297" s="640">
        <v>7</v>
      </c>
      <c r="N297" s="640">
        <f>VLOOKUP($I297,Prices!A:D,4,0)</f>
        <v>4500000</v>
      </c>
      <c r="O297" s="772">
        <f t="shared" si="23"/>
        <v>45000000</v>
      </c>
      <c r="P297" s="793">
        <f t="shared" si="22"/>
        <v>31500000</v>
      </c>
      <c r="Q297" s="851"/>
      <c r="R297" s="851"/>
      <c r="S297" s="853"/>
      <c r="T297" s="852"/>
      <c r="U297" s="855"/>
      <c r="V297" s="756" t="s">
        <v>899</v>
      </c>
      <c r="W297" s="756" t="s">
        <v>900</v>
      </c>
      <c r="X297" s="822" t="s">
        <v>194</v>
      </c>
      <c r="Y297" s="852"/>
      <c r="Z297" s="852"/>
      <c r="AA297" s="654" t="s">
        <v>901</v>
      </c>
      <c r="AB297" s="820" t="s">
        <v>21</v>
      </c>
      <c r="AC297" s="820" t="s">
        <v>21</v>
      </c>
      <c r="AD297" s="820" t="s">
        <v>21</v>
      </c>
      <c r="AE297" s="820" t="s">
        <v>21</v>
      </c>
      <c r="AF297" s="820" t="s">
        <v>21</v>
      </c>
      <c r="AG297" s="820" t="s">
        <v>21</v>
      </c>
      <c r="AH297" s="820" t="s">
        <v>21</v>
      </c>
      <c r="AI297" s="820" t="s">
        <v>21</v>
      </c>
      <c r="AJ297" s="820" t="s">
        <v>21</v>
      </c>
      <c r="AK297" s="820" t="s">
        <v>21</v>
      </c>
      <c r="AL297" s="820" t="s">
        <v>21</v>
      </c>
      <c r="AM297" s="820" t="s">
        <v>21</v>
      </c>
      <c r="AN297" s="820" t="s">
        <v>21</v>
      </c>
      <c r="AO297" s="820" t="s">
        <v>21</v>
      </c>
      <c r="AP297" s="775"/>
    </row>
    <row r="298" spans="1:42" s="141" customFormat="1" ht="14.25" customHeight="1">
      <c r="A298" s="848"/>
      <c r="B298" s="848"/>
      <c r="C298" s="751">
        <v>44713</v>
      </c>
      <c r="D298" s="848"/>
      <c r="E298" s="848"/>
      <c r="F298" s="859"/>
      <c r="G298" s="851"/>
      <c r="H298" s="852"/>
      <c r="I298" s="547" t="s">
        <v>902</v>
      </c>
      <c r="J298" s="658">
        <f>VLOOKUP($I298,Prices!A:B,2,0)</f>
        <v>4</v>
      </c>
      <c r="K298" s="790">
        <f>VLOOKUP(I298,Prices!A:C,3,0)</f>
        <v>0</v>
      </c>
      <c r="L298" s="640">
        <v>1</v>
      </c>
      <c r="M298" s="640">
        <v>0</v>
      </c>
      <c r="N298" s="640">
        <f>VLOOKUP($I298,Prices!A:D,4,0)</f>
        <v>93750000</v>
      </c>
      <c r="O298" s="772">
        <f t="shared" si="23"/>
        <v>93750000</v>
      </c>
      <c r="P298" s="793" t="s">
        <v>194</v>
      </c>
      <c r="Q298" s="851"/>
      <c r="R298" s="851"/>
      <c r="S298" s="853"/>
      <c r="T298" s="852"/>
      <c r="U298" s="855"/>
      <c r="V298" s="756" t="s">
        <v>903</v>
      </c>
      <c r="W298" s="752" t="s">
        <v>194</v>
      </c>
      <c r="X298" s="822" t="s">
        <v>194</v>
      </c>
      <c r="Y298" s="852"/>
      <c r="Z298" s="852"/>
      <c r="AA298" s="774" t="s">
        <v>194</v>
      </c>
      <c r="AB298" s="820" t="s">
        <v>21</v>
      </c>
      <c r="AC298" s="820" t="s">
        <v>21</v>
      </c>
      <c r="AD298" s="820" t="s">
        <v>21</v>
      </c>
      <c r="AE298" s="820" t="s">
        <v>21</v>
      </c>
      <c r="AF298" s="820" t="s">
        <v>21</v>
      </c>
      <c r="AG298" s="820" t="s">
        <v>21</v>
      </c>
      <c r="AH298" s="820" t="s">
        <v>21</v>
      </c>
      <c r="AI298" s="820" t="s">
        <v>21</v>
      </c>
      <c r="AJ298" s="820" t="s">
        <v>21</v>
      </c>
      <c r="AK298" s="820" t="s">
        <v>21</v>
      </c>
      <c r="AL298" s="820" t="s">
        <v>21</v>
      </c>
      <c r="AM298" s="820" t="s">
        <v>21</v>
      </c>
      <c r="AN298" s="820" t="s">
        <v>21</v>
      </c>
      <c r="AO298" s="820" t="s">
        <v>21</v>
      </c>
      <c r="AP298" s="775"/>
    </row>
    <row r="299" spans="1:42" s="141" customFormat="1" ht="14.25" customHeight="1">
      <c r="A299" s="848"/>
      <c r="B299" s="848"/>
      <c r="C299" s="751">
        <v>44713</v>
      </c>
      <c r="D299" s="848"/>
      <c r="E299" s="848"/>
      <c r="F299" s="859"/>
      <c r="G299" s="851"/>
      <c r="H299" s="852"/>
      <c r="I299" s="547" t="s">
        <v>904</v>
      </c>
      <c r="J299" s="658">
        <f>VLOOKUP($I299,Prices!A:B,2,0)</f>
        <v>1</v>
      </c>
      <c r="K299" s="790">
        <f>VLOOKUP(I299,Prices!A:C,3,0)</f>
        <v>0</v>
      </c>
      <c r="L299" s="640">
        <v>1</v>
      </c>
      <c r="M299" s="640">
        <v>0</v>
      </c>
      <c r="N299" s="640">
        <f>VLOOKUP($I299,Prices!A:D,4,0)</f>
        <v>50000</v>
      </c>
      <c r="O299" s="772">
        <f t="shared" si="23"/>
        <v>50000</v>
      </c>
      <c r="P299" s="793" t="s">
        <v>194</v>
      </c>
      <c r="Q299" s="851"/>
      <c r="R299" s="851"/>
      <c r="S299" s="853"/>
      <c r="T299" s="852"/>
      <c r="U299" s="855"/>
      <c r="V299" s="756" t="s">
        <v>905</v>
      </c>
      <c r="W299" s="752" t="s">
        <v>194</v>
      </c>
      <c r="X299" s="822" t="s">
        <v>194</v>
      </c>
      <c r="Y299" s="852"/>
      <c r="Z299" s="852"/>
      <c r="AA299" s="774" t="s">
        <v>194</v>
      </c>
      <c r="AB299" s="820" t="s">
        <v>21</v>
      </c>
      <c r="AC299" s="820" t="s">
        <v>21</v>
      </c>
      <c r="AD299" s="820" t="s">
        <v>21</v>
      </c>
      <c r="AE299" s="820" t="s">
        <v>21</v>
      </c>
      <c r="AF299" s="820" t="s">
        <v>21</v>
      </c>
      <c r="AG299" s="820" t="s">
        <v>21</v>
      </c>
      <c r="AH299" s="820" t="s">
        <v>21</v>
      </c>
      <c r="AI299" s="820" t="s">
        <v>21</v>
      </c>
      <c r="AJ299" s="820" t="s">
        <v>21</v>
      </c>
      <c r="AK299" s="820" t="s">
        <v>21</v>
      </c>
      <c r="AL299" s="820" t="s">
        <v>21</v>
      </c>
      <c r="AM299" s="820" t="s">
        <v>21</v>
      </c>
      <c r="AN299" s="820" t="s">
        <v>21</v>
      </c>
      <c r="AO299" s="820" t="s">
        <v>21</v>
      </c>
      <c r="AP299" s="775"/>
    </row>
    <row r="300" spans="1:42" s="141" customFormat="1" ht="14.25" customHeight="1">
      <c r="A300" s="848"/>
      <c r="B300" s="848"/>
      <c r="C300" s="848" t="s">
        <v>906</v>
      </c>
      <c r="D300" s="848"/>
      <c r="E300" s="848"/>
      <c r="F300" s="859"/>
      <c r="G300" s="851"/>
      <c r="H300" s="852"/>
      <c r="I300" s="547" t="s">
        <v>907</v>
      </c>
      <c r="J300" s="658">
        <f>VLOOKUP($I300,Prices!A:B,2,0)</f>
        <v>2.5</v>
      </c>
      <c r="K300" s="790">
        <f>VLOOKUP(I300,Prices!A:C,3,0)</f>
        <v>0</v>
      </c>
      <c r="L300" s="640">
        <v>5800000</v>
      </c>
      <c r="M300" s="640">
        <v>0</v>
      </c>
      <c r="N300" s="640">
        <f>VLOOKUP($I300,Prices!A:D,4,0)</f>
        <v>0.7</v>
      </c>
      <c r="O300" s="772">
        <f t="shared" si="23"/>
        <v>4059999.9999999995</v>
      </c>
      <c r="P300" s="793" t="s">
        <v>194</v>
      </c>
      <c r="Q300" s="851"/>
      <c r="R300" s="851"/>
      <c r="S300" s="853"/>
      <c r="T300" s="852"/>
      <c r="U300" s="855"/>
      <c r="V300" s="752" t="s">
        <v>194</v>
      </c>
      <c r="W300" s="752" t="s">
        <v>194</v>
      </c>
      <c r="X300" s="822" t="s">
        <v>194</v>
      </c>
      <c r="Y300" s="852"/>
      <c r="Z300" s="852"/>
      <c r="AA300" s="774" t="s">
        <v>194</v>
      </c>
      <c r="AB300" s="820" t="s">
        <v>21</v>
      </c>
      <c r="AC300" s="820" t="s">
        <v>21</v>
      </c>
      <c r="AD300" s="820" t="s">
        <v>21</v>
      </c>
      <c r="AE300" s="820" t="s">
        <v>21</v>
      </c>
      <c r="AF300" s="820" t="s">
        <v>21</v>
      </c>
      <c r="AG300" s="820" t="s">
        <v>21</v>
      </c>
      <c r="AH300" s="820" t="s">
        <v>21</v>
      </c>
      <c r="AI300" s="820" t="s">
        <v>21</v>
      </c>
      <c r="AJ300" s="820" t="s">
        <v>21</v>
      </c>
      <c r="AK300" s="820" t="s">
        <v>21</v>
      </c>
      <c r="AL300" s="820" t="s">
        <v>21</v>
      </c>
      <c r="AM300" s="820" t="s">
        <v>21</v>
      </c>
      <c r="AN300" s="820" t="s">
        <v>21</v>
      </c>
      <c r="AO300" s="820" t="s">
        <v>21</v>
      </c>
      <c r="AP300" s="775"/>
    </row>
    <row r="301" spans="1:42" s="141" customFormat="1" ht="14.25" customHeight="1">
      <c r="A301" s="848"/>
      <c r="B301" s="848"/>
      <c r="C301" s="848"/>
      <c r="D301" s="848"/>
      <c r="E301" s="848"/>
      <c r="F301" s="859"/>
      <c r="G301" s="851"/>
      <c r="H301" s="852"/>
      <c r="I301" s="547" t="s">
        <v>908</v>
      </c>
      <c r="J301" s="658">
        <f>VLOOKUP($I301,Prices!A:B,2,0)</f>
        <v>1</v>
      </c>
      <c r="K301" s="790">
        <f>VLOOKUP(I301,Prices!A:C,3,0)</f>
        <v>0</v>
      </c>
      <c r="L301" s="640">
        <v>8</v>
      </c>
      <c r="M301" s="640">
        <v>0</v>
      </c>
      <c r="N301" s="640">
        <f>VLOOKUP($I301,Prices!A:D,4,0)</f>
        <v>397</v>
      </c>
      <c r="O301" s="772">
        <f t="shared" si="23"/>
        <v>3176</v>
      </c>
      <c r="P301" s="793" t="s">
        <v>194</v>
      </c>
      <c r="Q301" s="851"/>
      <c r="R301" s="851"/>
      <c r="S301" s="853"/>
      <c r="T301" s="852"/>
      <c r="U301" s="855"/>
      <c r="V301" s="752" t="s">
        <v>194</v>
      </c>
      <c r="W301" s="752" t="s">
        <v>194</v>
      </c>
      <c r="X301" s="822" t="s">
        <v>194</v>
      </c>
      <c r="Y301" s="852"/>
      <c r="Z301" s="852"/>
      <c r="AA301" s="774" t="s">
        <v>194</v>
      </c>
      <c r="AB301" s="820" t="s">
        <v>21</v>
      </c>
      <c r="AC301" s="820" t="s">
        <v>21</v>
      </c>
      <c r="AD301" s="820" t="s">
        <v>21</v>
      </c>
      <c r="AE301" s="820" t="s">
        <v>21</v>
      </c>
      <c r="AF301" s="820" t="s">
        <v>21</v>
      </c>
      <c r="AG301" s="820" t="s">
        <v>21</v>
      </c>
      <c r="AH301" s="820" t="s">
        <v>21</v>
      </c>
      <c r="AI301" s="820" t="s">
        <v>21</v>
      </c>
      <c r="AJ301" s="820" t="s">
        <v>21</v>
      </c>
      <c r="AK301" s="820" t="s">
        <v>21</v>
      </c>
      <c r="AL301" s="820" t="s">
        <v>21</v>
      </c>
      <c r="AM301" s="820" t="s">
        <v>21</v>
      </c>
      <c r="AN301" s="820" t="s">
        <v>21</v>
      </c>
      <c r="AO301" s="820" t="s">
        <v>21</v>
      </c>
      <c r="AP301" s="775"/>
    </row>
    <row r="302" spans="1:42" s="141" customFormat="1" ht="14.25" customHeight="1">
      <c r="A302" s="848"/>
      <c r="B302" s="848"/>
      <c r="C302" s="848"/>
      <c r="D302" s="848"/>
      <c r="E302" s="848"/>
      <c r="F302" s="859"/>
      <c r="G302" s="851"/>
      <c r="H302" s="852"/>
      <c r="I302" s="547" t="s">
        <v>909</v>
      </c>
      <c r="J302" s="658">
        <f>VLOOKUP($I302,Prices!A:B,2,0)</f>
        <v>1</v>
      </c>
      <c r="K302" s="790">
        <f>VLOOKUP(I302,Prices!A:C,3,0)</f>
        <v>0</v>
      </c>
      <c r="L302" s="640">
        <v>40</v>
      </c>
      <c r="M302" s="640">
        <v>0</v>
      </c>
      <c r="N302" s="640">
        <f>VLOOKUP($I302,Prices!A:D,4,0)</f>
        <v>1147443.2</v>
      </c>
      <c r="O302" s="772">
        <f t="shared" si="23"/>
        <v>45897728</v>
      </c>
      <c r="P302" s="793" t="s">
        <v>194</v>
      </c>
      <c r="Q302" s="851"/>
      <c r="R302" s="851"/>
      <c r="S302" s="853"/>
      <c r="T302" s="852"/>
      <c r="U302" s="855"/>
      <c r="V302" s="752" t="s">
        <v>194</v>
      </c>
      <c r="W302" s="752" t="s">
        <v>194</v>
      </c>
      <c r="X302" s="822" t="s">
        <v>194</v>
      </c>
      <c r="Y302" s="852"/>
      <c r="Z302" s="852"/>
      <c r="AA302" s="774" t="s">
        <v>194</v>
      </c>
      <c r="AB302" s="820" t="s">
        <v>21</v>
      </c>
      <c r="AC302" s="820" t="s">
        <v>21</v>
      </c>
      <c r="AD302" s="820" t="s">
        <v>21</v>
      </c>
      <c r="AE302" s="820" t="s">
        <v>21</v>
      </c>
      <c r="AF302" s="820" t="s">
        <v>21</v>
      </c>
      <c r="AG302" s="820" t="s">
        <v>21</v>
      </c>
      <c r="AH302" s="820" t="s">
        <v>21</v>
      </c>
      <c r="AI302" s="820" t="s">
        <v>21</v>
      </c>
      <c r="AJ302" s="820" t="s">
        <v>21</v>
      </c>
      <c r="AK302" s="820" t="s">
        <v>21</v>
      </c>
      <c r="AL302" s="820" t="s">
        <v>21</v>
      </c>
      <c r="AM302" s="820" t="s">
        <v>21</v>
      </c>
      <c r="AN302" s="820" t="s">
        <v>21</v>
      </c>
      <c r="AO302" s="820" t="s">
        <v>21</v>
      </c>
      <c r="AP302" s="775"/>
    </row>
    <row r="303" spans="1:42" s="141" customFormat="1" ht="14.25" customHeight="1">
      <c r="A303" s="848"/>
      <c r="B303" s="848"/>
      <c r="C303" s="848"/>
      <c r="D303" s="848"/>
      <c r="E303" s="848"/>
      <c r="F303" s="859"/>
      <c r="G303" s="851"/>
      <c r="H303" s="852"/>
      <c r="I303" s="547" t="s">
        <v>838</v>
      </c>
      <c r="J303" s="658">
        <f>VLOOKUP($I303,Prices!A:B,2,0)</f>
        <v>1</v>
      </c>
      <c r="K303" s="790">
        <f>VLOOKUP(I303,Prices!A:C,3,0)</f>
        <v>0</v>
      </c>
      <c r="L303" s="640">
        <v>10</v>
      </c>
      <c r="M303" s="640">
        <v>0</v>
      </c>
      <c r="N303" s="640">
        <f>VLOOKUP($I303,Prices!A:D,4,0)</f>
        <v>60000</v>
      </c>
      <c r="O303" s="772">
        <f t="shared" si="23"/>
        <v>600000</v>
      </c>
      <c r="P303" s="793" t="s">
        <v>194</v>
      </c>
      <c r="Q303" s="851"/>
      <c r="R303" s="851"/>
      <c r="S303" s="853"/>
      <c r="T303" s="852"/>
      <c r="U303" s="855"/>
      <c r="V303" s="752" t="s">
        <v>194</v>
      </c>
      <c r="W303" s="752" t="s">
        <v>194</v>
      </c>
      <c r="X303" s="822" t="s">
        <v>194</v>
      </c>
      <c r="Y303" s="852"/>
      <c r="Z303" s="852"/>
      <c r="AA303" s="774" t="s">
        <v>194</v>
      </c>
      <c r="AB303" s="820" t="s">
        <v>21</v>
      </c>
      <c r="AC303" s="820" t="s">
        <v>21</v>
      </c>
      <c r="AD303" s="820" t="s">
        <v>21</v>
      </c>
      <c r="AE303" s="820" t="s">
        <v>21</v>
      </c>
      <c r="AF303" s="820" t="s">
        <v>21</v>
      </c>
      <c r="AG303" s="820" t="s">
        <v>21</v>
      </c>
      <c r="AH303" s="820" t="s">
        <v>21</v>
      </c>
      <c r="AI303" s="820" t="s">
        <v>21</v>
      </c>
      <c r="AJ303" s="820" t="s">
        <v>21</v>
      </c>
      <c r="AK303" s="820" t="s">
        <v>21</v>
      </c>
      <c r="AL303" s="820" t="s">
        <v>21</v>
      </c>
      <c r="AM303" s="820" t="s">
        <v>21</v>
      </c>
      <c r="AN303" s="820" t="s">
        <v>21</v>
      </c>
      <c r="AO303" s="820" t="s">
        <v>21</v>
      </c>
      <c r="AP303" s="775"/>
    </row>
    <row r="304" spans="1:42" s="141" customFormat="1" ht="14.25" customHeight="1">
      <c r="A304" s="848"/>
      <c r="B304" s="848"/>
      <c r="C304" s="848"/>
      <c r="D304" s="848"/>
      <c r="E304" s="848"/>
      <c r="F304" s="859"/>
      <c r="G304" s="851"/>
      <c r="H304" s="852"/>
      <c r="I304" s="547" t="s">
        <v>910</v>
      </c>
      <c r="J304" s="658">
        <f>VLOOKUP($I304,Prices!A:B,2,0)</f>
        <v>1</v>
      </c>
      <c r="K304" s="790">
        <f>VLOOKUP(I304,Prices!A:C,3,0)</f>
        <v>0</v>
      </c>
      <c r="L304" s="640">
        <v>7</v>
      </c>
      <c r="M304" s="640">
        <v>0</v>
      </c>
      <c r="N304" s="640" t="str">
        <f>VLOOKUP($I304,Prices!A:D,4,0)</f>
        <v>.</v>
      </c>
      <c r="O304" s="772" t="s">
        <v>194</v>
      </c>
      <c r="P304" s="793" t="s">
        <v>194</v>
      </c>
      <c r="Q304" s="851"/>
      <c r="R304" s="851"/>
      <c r="S304" s="853"/>
      <c r="T304" s="852"/>
      <c r="U304" s="855"/>
      <c r="V304" s="752" t="s">
        <v>194</v>
      </c>
      <c r="W304" s="752" t="s">
        <v>194</v>
      </c>
      <c r="X304" s="822" t="s">
        <v>194</v>
      </c>
      <c r="Y304" s="852"/>
      <c r="Z304" s="852"/>
      <c r="AA304" s="774" t="s">
        <v>194</v>
      </c>
      <c r="AB304" s="820" t="s">
        <v>21</v>
      </c>
      <c r="AC304" s="820" t="s">
        <v>21</v>
      </c>
      <c r="AD304" s="820" t="s">
        <v>21</v>
      </c>
      <c r="AE304" s="820" t="s">
        <v>21</v>
      </c>
      <c r="AF304" s="820" t="s">
        <v>21</v>
      </c>
      <c r="AG304" s="820" t="s">
        <v>21</v>
      </c>
      <c r="AH304" s="820" t="s">
        <v>21</v>
      </c>
      <c r="AI304" s="820" t="s">
        <v>21</v>
      </c>
      <c r="AJ304" s="820" t="s">
        <v>21</v>
      </c>
      <c r="AK304" s="820" t="s">
        <v>21</v>
      </c>
      <c r="AL304" s="820" t="s">
        <v>21</v>
      </c>
      <c r="AM304" s="820" t="s">
        <v>21</v>
      </c>
      <c r="AN304" s="820" t="s">
        <v>21</v>
      </c>
      <c r="AO304" s="820" t="s">
        <v>21</v>
      </c>
      <c r="AP304" s="775"/>
    </row>
    <row r="305" spans="1:42" s="141" customFormat="1" ht="14.25" customHeight="1">
      <c r="A305" s="848"/>
      <c r="B305" s="848"/>
      <c r="C305" s="848"/>
      <c r="D305" s="848"/>
      <c r="E305" s="848"/>
      <c r="F305" s="859"/>
      <c r="G305" s="851"/>
      <c r="H305" s="852"/>
      <c r="I305" s="547" t="s">
        <v>889</v>
      </c>
      <c r="J305" s="658">
        <f>VLOOKUP($I305,Prices!A:B,2,0)</f>
        <v>3</v>
      </c>
      <c r="K305" s="790">
        <f>VLOOKUP(I305,Prices!A:C,3,0)</f>
        <v>0</v>
      </c>
      <c r="L305" s="640">
        <v>8</v>
      </c>
      <c r="M305" s="640">
        <v>0</v>
      </c>
      <c r="N305" s="640">
        <f>VLOOKUP($I305,Prices!A:D,4,0)</f>
        <v>5800</v>
      </c>
      <c r="O305" s="772">
        <f t="shared" si="23"/>
        <v>46400</v>
      </c>
      <c r="P305" s="793" t="s">
        <v>194</v>
      </c>
      <c r="Q305" s="851"/>
      <c r="R305" s="851"/>
      <c r="S305" s="853"/>
      <c r="T305" s="852"/>
      <c r="U305" s="855"/>
      <c r="V305" s="752" t="s">
        <v>194</v>
      </c>
      <c r="W305" s="752" t="s">
        <v>194</v>
      </c>
      <c r="X305" s="822" t="s">
        <v>194</v>
      </c>
      <c r="Y305" s="852"/>
      <c r="Z305" s="852"/>
      <c r="AA305" s="774" t="s">
        <v>194</v>
      </c>
      <c r="AB305" s="820" t="s">
        <v>21</v>
      </c>
      <c r="AC305" s="820" t="s">
        <v>21</v>
      </c>
      <c r="AD305" s="820" t="s">
        <v>21</v>
      </c>
      <c r="AE305" s="820" t="s">
        <v>21</v>
      </c>
      <c r="AF305" s="820" t="s">
        <v>21</v>
      </c>
      <c r="AG305" s="820" t="s">
        <v>21</v>
      </c>
      <c r="AH305" s="820" t="s">
        <v>21</v>
      </c>
      <c r="AI305" s="820" t="s">
        <v>21</v>
      </c>
      <c r="AJ305" s="820" t="s">
        <v>21</v>
      </c>
      <c r="AK305" s="820" t="s">
        <v>21</v>
      </c>
      <c r="AL305" s="820" t="s">
        <v>21</v>
      </c>
      <c r="AM305" s="820" t="s">
        <v>21</v>
      </c>
      <c r="AN305" s="820" t="s">
        <v>21</v>
      </c>
      <c r="AO305" s="820" t="s">
        <v>21</v>
      </c>
      <c r="AP305" s="775"/>
    </row>
    <row r="306" spans="1:42" s="141" customFormat="1" ht="14.25" customHeight="1">
      <c r="A306" s="848"/>
      <c r="B306" s="848"/>
      <c r="C306" s="848"/>
      <c r="D306" s="848"/>
      <c r="E306" s="848"/>
      <c r="F306" s="859"/>
      <c r="G306" s="851"/>
      <c r="H306" s="852"/>
      <c r="I306" s="547" t="s">
        <v>911</v>
      </c>
      <c r="J306" s="658">
        <f>VLOOKUP($I306,Prices!A:B,2,0)</f>
        <v>1</v>
      </c>
      <c r="K306" s="790">
        <f>VLOOKUP(I306,Prices!A:C,3,0)</f>
        <v>0</v>
      </c>
      <c r="L306" s="640">
        <v>4</v>
      </c>
      <c r="M306" s="640">
        <v>0</v>
      </c>
      <c r="N306" s="640">
        <f>VLOOKUP($I306,Prices!A:D,4,0)</f>
        <v>365200</v>
      </c>
      <c r="O306" s="772">
        <f t="shared" si="23"/>
        <v>1460800</v>
      </c>
      <c r="P306" s="793" t="s">
        <v>194</v>
      </c>
      <c r="Q306" s="851"/>
      <c r="R306" s="851"/>
      <c r="S306" s="853"/>
      <c r="T306" s="852"/>
      <c r="U306" s="855"/>
      <c r="V306" s="752" t="s">
        <v>194</v>
      </c>
      <c r="W306" s="752" t="s">
        <v>194</v>
      </c>
      <c r="X306" s="822" t="s">
        <v>194</v>
      </c>
      <c r="Y306" s="852"/>
      <c r="Z306" s="852"/>
      <c r="AA306" s="774" t="s">
        <v>194</v>
      </c>
      <c r="AB306" s="820" t="s">
        <v>21</v>
      </c>
      <c r="AC306" s="820" t="s">
        <v>21</v>
      </c>
      <c r="AD306" s="820" t="s">
        <v>21</v>
      </c>
      <c r="AE306" s="820" t="s">
        <v>21</v>
      </c>
      <c r="AF306" s="820" t="s">
        <v>21</v>
      </c>
      <c r="AG306" s="820" t="s">
        <v>21</v>
      </c>
      <c r="AH306" s="820" t="s">
        <v>21</v>
      </c>
      <c r="AI306" s="820" t="s">
        <v>21</v>
      </c>
      <c r="AJ306" s="820" t="s">
        <v>21</v>
      </c>
      <c r="AK306" s="820" t="s">
        <v>21</v>
      </c>
      <c r="AL306" s="820" t="s">
        <v>21</v>
      </c>
      <c r="AM306" s="820" t="s">
        <v>21</v>
      </c>
      <c r="AN306" s="820" t="s">
        <v>21</v>
      </c>
      <c r="AO306" s="820" t="s">
        <v>21</v>
      </c>
      <c r="AP306" s="775"/>
    </row>
    <row r="307" spans="1:42" s="141" customFormat="1" ht="14.25" customHeight="1">
      <c r="A307" s="848"/>
      <c r="B307" s="848"/>
      <c r="C307" s="848"/>
      <c r="D307" s="848"/>
      <c r="E307" s="848"/>
      <c r="F307" s="859"/>
      <c r="G307" s="851"/>
      <c r="H307" s="852"/>
      <c r="I307" s="547" t="s">
        <v>892</v>
      </c>
      <c r="J307" s="658">
        <f>VLOOKUP($I307,Prices!A:B,2,0)</f>
        <v>1</v>
      </c>
      <c r="K307" s="790">
        <f>VLOOKUP(I307,Prices!A:C,3,0)</f>
        <v>0</v>
      </c>
      <c r="L307" s="640">
        <v>65</v>
      </c>
      <c r="M307" s="640">
        <v>0</v>
      </c>
      <c r="N307" s="640">
        <f>VLOOKUP($I307,Prices!A:D,4,0)</f>
        <v>1688.6</v>
      </c>
      <c r="O307" s="772">
        <f t="shared" si="23"/>
        <v>109759</v>
      </c>
      <c r="P307" s="793" t="s">
        <v>194</v>
      </c>
      <c r="Q307" s="851"/>
      <c r="R307" s="851"/>
      <c r="S307" s="853"/>
      <c r="T307" s="852"/>
      <c r="U307" s="855"/>
      <c r="V307" s="752" t="s">
        <v>194</v>
      </c>
      <c r="W307" s="752" t="s">
        <v>194</v>
      </c>
      <c r="X307" s="822" t="s">
        <v>194</v>
      </c>
      <c r="Y307" s="852"/>
      <c r="Z307" s="852"/>
      <c r="AA307" s="774" t="s">
        <v>194</v>
      </c>
      <c r="AB307" s="820" t="s">
        <v>21</v>
      </c>
      <c r="AC307" s="820" t="s">
        <v>21</v>
      </c>
      <c r="AD307" s="820" t="s">
        <v>21</v>
      </c>
      <c r="AE307" s="820" t="s">
        <v>21</v>
      </c>
      <c r="AF307" s="820" t="s">
        <v>21</v>
      </c>
      <c r="AG307" s="820" t="s">
        <v>21</v>
      </c>
      <c r="AH307" s="820" t="s">
        <v>21</v>
      </c>
      <c r="AI307" s="820" t="s">
        <v>21</v>
      </c>
      <c r="AJ307" s="820" t="s">
        <v>21</v>
      </c>
      <c r="AK307" s="820" t="s">
        <v>21</v>
      </c>
      <c r="AL307" s="820" t="s">
        <v>21</v>
      </c>
      <c r="AM307" s="820" t="s">
        <v>21</v>
      </c>
      <c r="AN307" s="820" t="s">
        <v>21</v>
      </c>
      <c r="AO307" s="820" t="s">
        <v>21</v>
      </c>
      <c r="AP307" s="775"/>
    </row>
    <row r="308" spans="1:42" s="141" customFormat="1" ht="14.25" customHeight="1">
      <c r="A308" s="848"/>
      <c r="B308" s="848"/>
      <c r="C308" s="848"/>
      <c r="D308" s="848"/>
      <c r="E308" s="848"/>
      <c r="F308" s="859"/>
      <c r="G308" s="851"/>
      <c r="H308" s="852"/>
      <c r="I308" s="546" t="s">
        <v>912</v>
      </c>
      <c r="J308" s="658">
        <f>VLOOKUP($I308,Prices!A:B,2,0)</f>
        <v>1</v>
      </c>
      <c r="K308" s="790">
        <f>VLOOKUP(I308,Prices!A:C,3,0)</f>
        <v>0</v>
      </c>
      <c r="L308" s="640">
        <v>1</v>
      </c>
      <c r="M308" s="640">
        <v>0</v>
      </c>
      <c r="N308" s="640" t="str">
        <f>VLOOKUP($I308,Prices!A:D,4,0)</f>
        <v>.</v>
      </c>
      <c r="O308" s="772" t="s">
        <v>194</v>
      </c>
      <c r="P308" s="793" t="s">
        <v>194</v>
      </c>
      <c r="Q308" s="851"/>
      <c r="R308" s="851"/>
      <c r="S308" s="853"/>
      <c r="T308" s="852"/>
      <c r="U308" s="855"/>
      <c r="V308" s="752" t="s">
        <v>194</v>
      </c>
      <c r="W308" s="752" t="s">
        <v>194</v>
      </c>
      <c r="X308" s="822" t="s">
        <v>194</v>
      </c>
      <c r="Y308" s="852"/>
      <c r="Z308" s="852"/>
      <c r="AA308" s="774" t="s">
        <v>194</v>
      </c>
      <c r="AB308" s="820" t="s">
        <v>21</v>
      </c>
      <c r="AC308" s="820" t="s">
        <v>21</v>
      </c>
      <c r="AD308" s="820" t="s">
        <v>21</v>
      </c>
      <c r="AE308" s="820" t="s">
        <v>21</v>
      </c>
      <c r="AF308" s="820" t="s">
        <v>21</v>
      </c>
      <c r="AG308" s="820" t="s">
        <v>21</v>
      </c>
      <c r="AH308" s="820" t="s">
        <v>21</v>
      </c>
      <c r="AI308" s="820" t="s">
        <v>21</v>
      </c>
      <c r="AJ308" s="820" t="s">
        <v>21</v>
      </c>
      <c r="AK308" s="820" t="s">
        <v>21</v>
      </c>
      <c r="AL308" s="820" t="s">
        <v>21</v>
      </c>
      <c r="AM308" s="820" t="s">
        <v>21</v>
      </c>
      <c r="AN308" s="820" t="s">
        <v>21</v>
      </c>
      <c r="AO308" s="820" t="s">
        <v>21</v>
      </c>
      <c r="AP308" s="775"/>
    </row>
    <row r="309" spans="1:42" s="141" customFormat="1" ht="14.25" customHeight="1">
      <c r="A309" s="848"/>
      <c r="B309" s="848"/>
      <c r="C309" s="848"/>
      <c r="D309" s="848"/>
      <c r="E309" s="848"/>
      <c r="F309" s="859"/>
      <c r="G309" s="851"/>
      <c r="H309" s="852"/>
      <c r="I309" s="547" t="s">
        <v>913</v>
      </c>
      <c r="J309" s="658">
        <f>VLOOKUP($I309,Prices!A:B,2,0)</f>
        <v>1</v>
      </c>
      <c r="K309" s="790">
        <f>VLOOKUP(I309,Prices!A:C,3,0)</f>
        <v>0</v>
      </c>
      <c r="L309" s="640">
        <v>100</v>
      </c>
      <c r="M309" s="640">
        <v>0</v>
      </c>
      <c r="N309" s="640">
        <f>VLOOKUP($I309,Prices!A:D,4,0)</f>
        <v>9.93</v>
      </c>
      <c r="O309" s="772">
        <f t="shared" si="23"/>
        <v>993</v>
      </c>
      <c r="P309" s="793" t="s">
        <v>194</v>
      </c>
      <c r="Q309" s="851"/>
      <c r="R309" s="851"/>
      <c r="S309" s="853"/>
      <c r="T309" s="852"/>
      <c r="U309" s="855"/>
      <c r="V309" s="752" t="s">
        <v>194</v>
      </c>
      <c r="W309" s="752" t="s">
        <v>194</v>
      </c>
      <c r="X309" s="822" t="s">
        <v>194</v>
      </c>
      <c r="Y309" s="852"/>
      <c r="Z309" s="852"/>
      <c r="AA309" s="774" t="s">
        <v>194</v>
      </c>
      <c r="AB309" s="820" t="s">
        <v>21</v>
      </c>
      <c r="AC309" s="820" t="s">
        <v>21</v>
      </c>
      <c r="AD309" s="820" t="s">
        <v>21</v>
      </c>
      <c r="AE309" s="820" t="s">
        <v>21</v>
      </c>
      <c r="AF309" s="820" t="s">
        <v>21</v>
      </c>
      <c r="AG309" s="820" t="s">
        <v>21</v>
      </c>
      <c r="AH309" s="820" t="s">
        <v>21</v>
      </c>
      <c r="AI309" s="820" t="s">
        <v>21</v>
      </c>
      <c r="AJ309" s="820" t="s">
        <v>21</v>
      </c>
      <c r="AK309" s="820" t="s">
        <v>21</v>
      </c>
      <c r="AL309" s="820" t="s">
        <v>21</v>
      </c>
      <c r="AM309" s="820" t="s">
        <v>21</v>
      </c>
      <c r="AN309" s="820" t="s">
        <v>21</v>
      </c>
      <c r="AO309" s="820" t="s">
        <v>21</v>
      </c>
      <c r="AP309" s="775"/>
    </row>
    <row r="310" spans="1:42" s="141" customFormat="1" ht="14.25" customHeight="1">
      <c r="A310" s="848"/>
      <c r="B310" s="848"/>
      <c r="C310" s="848"/>
      <c r="D310" s="848"/>
      <c r="E310" s="848"/>
      <c r="F310" s="859"/>
      <c r="G310" s="851"/>
      <c r="H310" s="852"/>
      <c r="I310" s="547" t="s">
        <v>914</v>
      </c>
      <c r="J310" s="658">
        <f>VLOOKUP($I310,Prices!A:B,2,0)</f>
        <v>1</v>
      </c>
      <c r="K310" s="790">
        <f>VLOOKUP(I310,Prices!A:C,3,0)</f>
        <v>0</v>
      </c>
      <c r="L310" s="640">
        <v>14</v>
      </c>
      <c r="M310" s="640">
        <v>14</v>
      </c>
      <c r="N310" s="640">
        <f>VLOOKUP($I310,Prices!A:D,4,0)</f>
        <v>11578.3</v>
      </c>
      <c r="O310" s="772">
        <f t="shared" si="23"/>
        <v>162096.19999999998</v>
      </c>
      <c r="P310" s="793">
        <f t="shared" si="22"/>
        <v>162096.19999999998</v>
      </c>
      <c r="Q310" s="851"/>
      <c r="R310" s="851"/>
      <c r="S310" s="853"/>
      <c r="T310" s="852"/>
      <c r="U310" s="855"/>
      <c r="V310" s="752" t="s">
        <v>194</v>
      </c>
      <c r="W310" s="752" t="s">
        <v>194</v>
      </c>
      <c r="X310" s="822" t="s">
        <v>194</v>
      </c>
      <c r="Y310" s="852"/>
      <c r="Z310" s="852"/>
      <c r="AA310" s="654" t="s">
        <v>858</v>
      </c>
      <c r="AB310" s="820" t="s">
        <v>21</v>
      </c>
      <c r="AC310" s="820" t="s">
        <v>21</v>
      </c>
      <c r="AD310" s="820" t="s">
        <v>21</v>
      </c>
      <c r="AE310" s="820" t="s">
        <v>21</v>
      </c>
      <c r="AF310" s="820" t="s">
        <v>21</v>
      </c>
      <c r="AG310" s="820" t="s">
        <v>21</v>
      </c>
      <c r="AH310" s="820" t="s">
        <v>21</v>
      </c>
      <c r="AI310" s="820" t="s">
        <v>21</v>
      </c>
      <c r="AJ310" s="820" t="s">
        <v>21</v>
      </c>
      <c r="AK310" s="820" t="s">
        <v>21</v>
      </c>
      <c r="AL310" s="820" t="s">
        <v>21</v>
      </c>
      <c r="AM310" s="820" t="s">
        <v>21</v>
      </c>
      <c r="AN310" s="820" t="s">
        <v>21</v>
      </c>
      <c r="AO310" s="820" t="s">
        <v>21</v>
      </c>
      <c r="AP310" s="775"/>
    </row>
    <row r="311" spans="1:42" s="141" customFormat="1" ht="14.25" customHeight="1">
      <c r="A311" s="848"/>
      <c r="B311" s="848"/>
      <c r="C311" s="848"/>
      <c r="D311" s="848"/>
      <c r="E311" s="848"/>
      <c r="F311" s="859"/>
      <c r="G311" s="851"/>
      <c r="H311" s="852"/>
      <c r="I311" s="547" t="s">
        <v>915</v>
      </c>
      <c r="J311" s="658">
        <f>VLOOKUP($I311,Prices!A:B,2,0)</f>
        <v>3</v>
      </c>
      <c r="K311" s="790">
        <f>VLOOKUP(I311,Prices!A:C,3,0)</f>
        <v>0</v>
      </c>
      <c r="L311" s="640">
        <v>10</v>
      </c>
      <c r="M311" s="640">
        <v>10</v>
      </c>
      <c r="N311" s="640" t="str">
        <f>VLOOKUP($I311,Prices!A:D,4,0)</f>
        <v>.</v>
      </c>
      <c r="O311" s="772" t="s">
        <v>194</v>
      </c>
      <c r="P311" s="793" t="s">
        <v>194</v>
      </c>
      <c r="Q311" s="851"/>
      <c r="R311" s="851"/>
      <c r="S311" s="853"/>
      <c r="T311" s="852"/>
      <c r="U311" s="855"/>
      <c r="V311" s="752" t="s">
        <v>194</v>
      </c>
      <c r="W311" s="752" t="s">
        <v>194</v>
      </c>
      <c r="X311" s="822" t="s">
        <v>194</v>
      </c>
      <c r="Y311" s="852"/>
      <c r="Z311" s="852"/>
      <c r="AA311" s="654" t="s">
        <v>858</v>
      </c>
      <c r="AB311" s="677"/>
      <c r="AC311" s="677"/>
      <c r="AD311" s="677"/>
      <c r="AE311" s="677"/>
      <c r="AF311" s="677"/>
      <c r="AG311" s="677"/>
      <c r="AH311" s="559"/>
      <c r="AI311" s="559"/>
      <c r="AJ311" s="559"/>
      <c r="AK311" s="559"/>
      <c r="AL311" s="559"/>
      <c r="AM311" s="559"/>
      <c r="AN311" s="559"/>
      <c r="AO311" s="559"/>
      <c r="AP311" s="775"/>
    </row>
    <row r="312" spans="1:42" s="141" customFormat="1" ht="14.25" customHeight="1">
      <c r="A312" s="848"/>
      <c r="B312" s="848"/>
      <c r="C312" s="848"/>
      <c r="D312" s="848"/>
      <c r="E312" s="848"/>
      <c r="F312" s="859"/>
      <c r="G312" s="851"/>
      <c r="H312" s="852"/>
      <c r="I312" s="547" t="s">
        <v>916</v>
      </c>
      <c r="J312" s="658">
        <f>VLOOKUP($I312,Prices!A:B,2,0)</f>
        <v>1</v>
      </c>
      <c r="K312" s="790">
        <f>VLOOKUP(I312,Prices!A:C,3,0)</f>
        <v>0</v>
      </c>
      <c r="L312" s="640">
        <v>80</v>
      </c>
      <c r="M312" s="642">
        <v>0</v>
      </c>
      <c r="N312" s="640" t="str">
        <f>VLOOKUP($I312,Prices!A:D,4,0)</f>
        <v>.</v>
      </c>
      <c r="O312" s="772" t="s">
        <v>194</v>
      </c>
      <c r="P312" s="793" t="s">
        <v>194</v>
      </c>
      <c r="Q312" s="851"/>
      <c r="R312" s="851"/>
      <c r="S312" s="853"/>
      <c r="T312" s="852"/>
      <c r="U312" s="855"/>
      <c r="V312" s="752" t="s">
        <v>194</v>
      </c>
      <c r="W312" s="752" t="s">
        <v>194</v>
      </c>
      <c r="X312" s="822" t="s">
        <v>194</v>
      </c>
      <c r="Y312" s="852"/>
      <c r="Z312" s="852"/>
      <c r="AA312" s="655" t="s">
        <v>194</v>
      </c>
      <c r="AB312" s="559"/>
      <c r="AC312" s="559"/>
      <c r="AD312" s="559"/>
      <c r="AE312" s="559"/>
      <c r="AF312" s="559"/>
      <c r="AG312" s="559"/>
      <c r="AH312" s="559"/>
      <c r="AI312" s="559"/>
      <c r="AJ312" s="559"/>
      <c r="AK312" s="559"/>
      <c r="AL312" s="559"/>
      <c r="AM312" s="559"/>
      <c r="AN312" s="559"/>
      <c r="AO312" s="559"/>
      <c r="AP312" s="775"/>
    </row>
    <row r="313" spans="1:42" s="141" customFormat="1" ht="14.25" customHeight="1">
      <c r="A313" s="848"/>
      <c r="B313" s="848"/>
      <c r="C313" s="848"/>
      <c r="D313" s="848"/>
      <c r="E313" s="848"/>
      <c r="F313" s="859"/>
      <c r="G313" s="851"/>
      <c r="H313" s="852"/>
      <c r="I313" s="547" t="s">
        <v>917</v>
      </c>
      <c r="J313" s="658">
        <f>VLOOKUP($I313,Prices!A:B,2,0)</f>
        <v>1</v>
      </c>
      <c r="K313" s="790">
        <f>VLOOKUP(I313,Prices!A:C,3,0)</f>
        <v>0</v>
      </c>
      <c r="L313" s="640">
        <v>100000</v>
      </c>
      <c r="M313" s="642">
        <v>0</v>
      </c>
      <c r="N313" s="640">
        <f>VLOOKUP($I313,Prices!A:D,4,0)</f>
        <v>41.01</v>
      </c>
      <c r="O313" s="772">
        <f t="shared" si="23"/>
        <v>4101000</v>
      </c>
      <c r="P313" s="793" t="s">
        <v>194</v>
      </c>
      <c r="Q313" s="851"/>
      <c r="R313" s="851"/>
      <c r="S313" s="853"/>
      <c r="T313" s="852"/>
      <c r="U313" s="855"/>
      <c r="V313" s="752" t="s">
        <v>194</v>
      </c>
      <c r="W313" s="752" t="s">
        <v>194</v>
      </c>
      <c r="X313" s="822" t="s">
        <v>194</v>
      </c>
      <c r="Y313" s="852"/>
      <c r="Z313" s="852"/>
      <c r="AA313" s="655" t="s">
        <v>194</v>
      </c>
      <c r="AB313" s="559"/>
      <c r="AC313" s="559"/>
      <c r="AD313" s="559"/>
      <c r="AE313" s="559"/>
      <c r="AF313" s="559"/>
      <c r="AG313" s="559"/>
      <c r="AH313" s="559"/>
      <c r="AI313" s="559"/>
      <c r="AJ313" s="559"/>
      <c r="AK313" s="559"/>
      <c r="AL313" s="559"/>
      <c r="AM313" s="559"/>
      <c r="AN313" s="559"/>
      <c r="AO313" s="559"/>
      <c r="AP313" s="775"/>
    </row>
    <row r="314" spans="1:42" s="141" customFormat="1" ht="74.25" customHeight="1">
      <c r="A314" s="775" t="s">
        <v>918</v>
      </c>
      <c r="B314" s="775" t="s">
        <v>840</v>
      </c>
      <c r="C314" s="780">
        <v>44686</v>
      </c>
      <c r="D314" s="775" t="s">
        <v>292</v>
      </c>
      <c r="E314" s="775" t="s">
        <v>351</v>
      </c>
      <c r="F314" s="765" t="s">
        <v>919</v>
      </c>
      <c r="G314" s="772">
        <v>150000000</v>
      </c>
      <c r="H314" s="757" t="s">
        <v>278</v>
      </c>
      <c r="I314" s="775" t="s">
        <v>194</v>
      </c>
      <c r="J314" s="658" t="str">
        <f>VLOOKUP($I314,Prices!A:B,2,0)</f>
        <v>.</v>
      </c>
      <c r="K314" s="790" t="s">
        <v>194</v>
      </c>
      <c r="L314" s="788" t="s">
        <v>194</v>
      </c>
      <c r="M314" s="788" t="s">
        <v>194</v>
      </c>
      <c r="N314" s="708" t="str">
        <f>VLOOKUP($I314,Prices!A:D,4,0)</f>
        <v>.</v>
      </c>
      <c r="O314" s="772" t="s">
        <v>194</v>
      </c>
      <c r="P314" s="793" t="s">
        <v>194</v>
      </c>
      <c r="Q314" s="772">
        <f>G314</f>
        <v>150000000</v>
      </c>
      <c r="R314" s="772">
        <f>Q314/VLOOKUP(H314,'Currency Conversion'!B:C,2,0)</f>
        <v>150000000</v>
      </c>
      <c r="S314" s="749" t="s">
        <v>194</v>
      </c>
      <c r="T314" s="757" t="s">
        <v>325</v>
      </c>
      <c r="U314" s="756" t="s">
        <v>852</v>
      </c>
      <c r="V314" s="773" t="s">
        <v>194</v>
      </c>
      <c r="W314" s="773" t="s">
        <v>194</v>
      </c>
      <c r="X314" s="784" t="s">
        <v>194</v>
      </c>
      <c r="Y314" s="759">
        <v>0</v>
      </c>
      <c r="Z314" s="757">
        <v>0</v>
      </c>
      <c r="AA314" s="799" t="s">
        <v>194</v>
      </c>
      <c r="AB314" s="775"/>
      <c r="AC314" s="775"/>
      <c r="AD314" s="775"/>
      <c r="AE314" s="775"/>
      <c r="AF314" s="775"/>
      <c r="AG314" s="775"/>
      <c r="AH314" s="775"/>
      <c r="AI314" s="775"/>
      <c r="AJ314" s="775"/>
      <c r="AK314" s="775"/>
      <c r="AL314" s="775"/>
      <c r="AM314" s="775"/>
      <c r="AN314" s="775"/>
      <c r="AO314" s="775"/>
      <c r="AP314" s="775"/>
    </row>
    <row r="315" spans="1:42" s="141" customFormat="1" ht="86.25" customHeight="1">
      <c r="A315" s="775" t="s">
        <v>920</v>
      </c>
      <c r="B315" s="775" t="s">
        <v>840</v>
      </c>
      <c r="C315" s="780">
        <v>44700</v>
      </c>
      <c r="D315" s="775" t="s">
        <v>292</v>
      </c>
      <c r="E315" s="775" t="s">
        <v>276</v>
      </c>
      <c r="F315" s="765" t="s">
        <v>921</v>
      </c>
      <c r="G315" s="772">
        <v>1000000000</v>
      </c>
      <c r="H315" s="757" t="s">
        <v>278</v>
      </c>
      <c r="I315" s="775" t="s">
        <v>194</v>
      </c>
      <c r="J315" s="658" t="str">
        <f>VLOOKUP($I315,Prices!A:B,2,0)</f>
        <v>.</v>
      </c>
      <c r="K315" s="790" t="s">
        <v>194</v>
      </c>
      <c r="L315" s="788" t="s">
        <v>194</v>
      </c>
      <c r="M315" s="788" t="s">
        <v>194</v>
      </c>
      <c r="N315" s="647" t="str">
        <f>VLOOKUP($I315,Prices!A:D,4,0)</f>
        <v>.</v>
      </c>
      <c r="O315" s="772" t="s">
        <v>194</v>
      </c>
      <c r="P315" s="793" t="s">
        <v>194</v>
      </c>
      <c r="Q315" s="772">
        <f>G315</f>
        <v>1000000000</v>
      </c>
      <c r="R315" s="772">
        <f>Q315/VLOOKUP(H315,'Currency Conversion'!B:C,2,0)</f>
        <v>1000000000</v>
      </c>
      <c r="S315" s="749" t="s">
        <v>194</v>
      </c>
      <c r="T315" s="757" t="s">
        <v>325</v>
      </c>
      <c r="U315" s="756" t="s">
        <v>922</v>
      </c>
      <c r="V315" s="756" t="s">
        <v>923</v>
      </c>
      <c r="W315" s="756" t="s">
        <v>924</v>
      </c>
      <c r="X315" s="784" t="s">
        <v>194</v>
      </c>
      <c r="Y315" s="759">
        <v>0</v>
      </c>
      <c r="Z315" s="757">
        <v>0</v>
      </c>
      <c r="AA315" s="781" t="s">
        <v>194</v>
      </c>
      <c r="AB315" s="775"/>
      <c r="AC315" s="775"/>
      <c r="AD315" s="775"/>
      <c r="AE315" s="775"/>
      <c r="AF315" s="775"/>
      <c r="AG315" s="775"/>
      <c r="AH315" s="775"/>
      <c r="AI315" s="775"/>
      <c r="AJ315" s="775"/>
      <c r="AK315" s="775"/>
      <c r="AL315" s="775"/>
      <c r="AM315" s="775"/>
      <c r="AN315" s="775"/>
      <c r="AO315" s="775"/>
      <c r="AP315" s="775"/>
    </row>
    <row r="316" spans="1:42" ht="58.5" customHeight="1">
      <c r="A316" s="766" t="s">
        <v>925</v>
      </c>
      <c r="B316" s="766" t="s">
        <v>926</v>
      </c>
      <c r="C316" s="776">
        <v>44619</v>
      </c>
      <c r="D316" s="766" t="s">
        <v>190</v>
      </c>
      <c r="E316" s="766" t="s">
        <v>199</v>
      </c>
      <c r="F316" s="787" t="s">
        <v>927</v>
      </c>
      <c r="G316" s="770" t="s">
        <v>201</v>
      </c>
      <c r="H316" s="759" t="s">
        <v>194</v>
      </c>
      <c r="I316" s="766" t="s">
        <v>194</v>
      </c>
      <c r="J316" s="658" t="str">
        <f>VLOOKUP($I316,Prices!A:B,2,0)</f>
        <v>.</v>
      </c>
      <c r="K316" s="790" t="s">
        <v>194</v>
      </c>
      <c r="L316" s="665" t="s">
        <v>194</v>
      </c>
      <c r="M316" s="665" t="s">
        <v>194</v>
      </c>
      <c r="N316" s="708" t="str">
        <f>VLOOKUP($I316,Prices!A:D,4,0)</f>
        <v>.</v>
      </c>
      <c r="O316" s="772" t="s">
        <v>194</v>
      </c>
      <c r="P316" s="793" t="s">
        <v>194</v>
      </c>
      <c r="Q316" s="778" t="s">
        <v>194</v>
      </c>
      <c r="R316" s="778" t="s">
        <v>194</v>
      </c>
      <c r="S316" s="790" t="s">
        <v>194</v>
      </c>
      <c r="T316" s="759" t="s">
        <v>195</v>
      </c>
      <c r="U316" s="756" t="s">
        <v>928</v>
      </c>
      <c r="V316" s="678" t="s">
        <v>929</v>
      </c>
      <c r="W316" s="765" t="s">
        <v>194</v>
      </c>
      <c r="X316" s="532" t="s">
        <v>194</v>
      </c>
      <c r="Y316" s="759">
        <v>0</v>
      </c>
      <c r="Z316" s="759">
        <v>0</v>
      </c>
      <c r="AA316" s="813" t="s">
        <v>194</v>
      </c>
      <c r="AB316" s="767"/>
      <c r="AC316" s="767"/>
      <c r="AD316" s="767"/>
      <c r="AE316" s="767"/>
      <c r="AF316" s="767"/>
      <c r="AG316" s="767"/>
      <c r="AH316" s="767"/>
      <c r="AI316" s="767"/>
      <c r="AJ316" s="767"/>
      <c r="AK316" s="767"/>
      <c r="AL316" s="767"/>
      <c r="AM316" s="767"/>
      <c r="AN316" s="767"/>
      <c r="AO316" s="767"/>
      <c r="AP316" s="767"/>
    </row>
    <row r="317" spans="1:42" s="141" customFormat="1" ht="48" customHeight="1">
      <c r="A317" s="775" t="s">
        <v>930</v>
      </c>
      <c r="B317" s="766" t="s">
        <v>926</v>
      </c>
      <c r="C317" s="776">
        <v>44638</v>
      </c>
      <c r="D317" s="766" t="s">
        <v>190</v>
      </c>
      <c r="E317" s="766" t="s">
        <v>199</v>
      </c>
      <c r="F317" s="773" t="s">
        <v>931</v>
      </c>
      <c r="G317" s="777" t="s">
        <v>201</v>
      </c>
      <c r="H317" s="759" t="s">
        <v>194</v>
      </c>
      <c r="I317" s="766" t="s">
        <v>194</v>
      </c>
      <c r="J317" s="658" t="str">
        <f>VLOOKUP($I317,Prices!A:B,2,0)</f>
        <v>.</v>
      </c>
      <c r="K317" s="790" t="s">
        <v>194</v>
      </c>
      <c r="L317" s="676" t="s">
        <v>194</v>
      </c>
      <c r="M317" s="665" t="s">
        <v>194</v>
      </c>
      <c r="N317" s="647" t="str">
        <f>VLOOKUP($I317,Prices!A:D,4,0)</f>
        <v>.</v>
      </c>
      <c r="O317" s="772" t="s">
        <v>194</v>
      </c>
      <c r="P317" s="793" t="s">
        <v>194</v>
      </c>
      <c r="Q317" s="778" t="s">
        <v>194</v>
      </c>
      <c r="R317" s="778" t="s">
        <v>194</v>
      </c>
      <c r="S317" s="790" t="s">
        <v>194</v>
      </c>
      <c r="T317" s="759" t="s">
        <v>195</v>
      </c>
      <c r="U317" s="756" t="s">
        <v>932</v>
      </c>
      <c r="V317" s="756" t="s">
        <v>933</v>
      </c>
      <c r="W317" s="765" t="s">
        <v>194</v>
      </c>
      <c r="X317" s="532" t="s">
        <v>194</v>
      </c>
      <c r="Y317" s="759">
        <v>0</v>
      </c>
      <c r="Z317" s="761">
        <v>0</v>
      </c>
      <c r="AA317" s="813" t="s">
        <v>194</v>
      </c>
      <c r="AB317" s="775"/>
      <c r="AC317" s="775"/>
      <c r="AD317" s="775"/>
      <c r="AE317" s="775"/>
      <c r="AF317" s="775"/>
      <c r="AG317" s="775"/>
      <c r="AH317" s="775"/>
      <c r="AI317" s="775"/>
      <c r="AJ317" s="775"/>
      <c r="AK317" s="775"/>
      <c r="AL317" s="775"/>
      <c r="AM317" s="775"/>
      <c r="AN317" s="775"/>
      <c r="AO317" s="775"/>
      <c r="AP317" s="775"/>
    </row>
    <row r="318" spans="1:42" s="141" customFormat="1" ht="45" customHeight="1">
      <c r="A318" s="766" t="s">
        <v>934</v>
      </c>
      <c r="B318" s="766" t="s">
        <v>926</v>
      </c>
      <c r="C318" s="776">
        <v>44654</v>
      </c>
      <c r="D318" s="766" t="s">
        <v>190</v>
      </c>
      <c r="E318" s="766" t="s">
        <v>199</v>
      </c>
      <c r="F318" s="773" t="s">
        <v>935</v>
      </c>
      <c r="G318" s="777" t="s">
        <v>201</v>
      </c>
      <c r="H318" s="759" t="s">
        <v>194</v>
      </c>
      <c r="I318" s="766" t="s">
        <v>194</v>
      </c>
      <c r="J318" s="658" t="str">
        <f>VLOOKUP($I318,Prices!A:B,2,0)</f>
        <v>.</v>
      </c>
      <c r="K318" s="790" t="s">
        <v>194</v>
      </c>
      <c r="L318" s="676" t="s">
        <v>194</v>
      </c>
      <c r="M318" s="665" t="s">
        <v>194</v>
      </c>
      <c r="N318" s="708" t="str">
        <f>VLOOKUP($I318,Prices!A:D,4,0)</f>
        <v>.</v>
      </c>
      <c r="O318" s="772" t="s">
        <v>194</v>
      </c>
      <c r="P318" s="793" t="s">
        <v>194</v>
      </c>
      <c r="Q318" s="778" t="s">
        <v>194</v>
      </c>
      <c r="R318" s="778" t="s">
        <v>194</v>
      </c>
      <c r="S318" s="790" t="s">
        <v>194</v>
      </c>
      <c r="T318" s="759" t="s">
        <v>195</v>
      </c>
      <c r="U318" s="756" t="s">
        <v>936</v>
      </c>
      <c r="V318" s="756" t="s">
        <v>937</v>
      </c>
      <c r="W318" s="765" t="s">
        <v>194</v>
      </c>
      <c r="X318" s="532" t="s">
        <v>194</v>
      </c>
      <c r="Y318" s="759">
        <v>0</v>
      </c>
      <c r="Z318" s="759">
        <v>0</v>
      </c>
      <c r="AA318" s="813" t="s">
        <v>194</v>
      </c>
      <c r="AB318" s="775"/>
      <c r="AC318" s="775"/>
      <c r="AD318" s="775"/>
      <c r="AE318" s="775"/>
      <c r="AF318" s="775"/>
      <c r="AG318" s="775"/>
      <c r="AH318" s="775"/>
      <c r="AI318" s="775"/>
      <c r="AJ318" s="775"/>
      <c r="AK318" s="775"/>
      <c r="AL318" s="775"/>
      <c r="AM318" s="775"/>
      <c r="AN318" s="775"/>
      <c r="AO318" s="775"/>
      <c r="AP318" s="775"/>
    </row>
    <row r="319" spans="1:42" s="141" customFormat="1" ht="48" customHeight="1">
      <c r="A319" s="766" t="s">
        <v>938</v>
      </c>
      <c r="B319" s="766" t="s">
        <v>926</v>
      </c>
      <c r="C319" s="776">
        <v>44662</v>
      </c>
      <c r="D319" s="766" t="s">
        <v>190</v>
      </c>
      <c r="E319" s="766" t="s">
        <v>199</v>
      </c>
      <c r="F319" s="773" t="s">
        <v>939</v>
      </c>
      <c r="G319" s="777" t="s">
        <v>201</v>
      </c>
      <c r="H319" s="759" t="s">
        <v>194</v>
      </c>
      <c r="I319" s="766" t="s">
        <v>194</v>
      </c>
      <c r="J319" s="658" t="str">
        <f>VLOOKUP($I319,Prices!A:B,2,0)</f>
        <v>.</v>
      </c>
      <c r="K319" s="790" t="s">
        <v>194</v>
      </c>
      <c r="L319" s="676" t="s">
        <v>194</v>
      </c>
      <c r="M319" s="665" t="s">
        <v>194</v>
      </c>
      <c r="N319" s="647" t="str">
        <f>VLOOKUP($I319,Prices!A:D,4,0)</f>
        <v>.</v>
      </c>
      <c r="O319" s="772" t="s">
        <v>194</v>
      </c>
      <c r="P319" s="793" t="s">
        <v>194</v>
      </c>
      <c r="Q319" s="778" t="s">
        <v>194</v>
      </c>
      <c r="R319" s="778" t="s">
        <v>194</v>
      </c>
      <c r="S319" s="790" t="s">
        <v>194</v>
      </c>
      <c r="T319" s="759" t="s">
        <v>195</v>
      </c>
      <c r="U319" s="756" t="s">
        <v>940</v>
      </c>
      <c r="V319" s="765" t="s">
        <v>194</v>
      </c>
      <c r="W319" s="765" t="s">
        <v>194</v>
      </c>
      <c r="X319" s="532" t="s">
        <v>194</v>
      </c>
      <c r="Y319" s="759">
        <v>0</v>
      </c>
      <c r="Z319" s="759">
        <v>0</v>
      </c>
      <c r="AA319" s="813" t="s">
        <v>194</v>
      </c>
      <c r="AB319" s="775"/>
      <c r="AC319" s="775"/>
      <c r="AD319" s="775"/>
      <c r="AE319" s="775"/>
      <c r="AF319" s="775"/>
      <c r="AG319" s="775"/>
      <c r="AH319" s="775"/>
      <c r="AI319" s="775"/>
      <c r="AJ319" s="775"/>
      <c r="AK319" s="775"/>
      <c r="AL319" s="775"/>
      <c r="AM319" s="775"/>
      <c r="AN319" s="775"/>
      <c r="AO319" s="775"/>
      <c r="AP319" s="775"/>
    </row>
    <row r="320" spans="1:42" s="141" customFormat="1" ht="21.95" customHeight="1">
      <c r="A320" s="868" t="s">
        <v>941</v>
      </c>
      <c r="B320" s="868" t="s">
        <v>926</v>
      </c>
      <c r="C320" s="867" t="s">
        <v>942</v>
      </c>
      <c r="D320" s="868" t="s">
        <v>212</v>
      </c>
      <c r="E320" s="868" t="s">
        <v>320</v>
      </c>
      <c r="F320" s="890" t="s">
        <v>943</v>
      </c>
      <c r="G320" s="875" t="s">
        <v>201</v>
      </c>
      <c r="H320" s="870" t="s">
        <v>260</v>
      </c>
      <c r="I320" s="775" t="s">
        <v>944</v>
      </c>
      <c r="J320" s="658">
        <f>VLOOKUP($I320,Prices!A:B,2,0)</f>
        <v>2</v>
      </c>
      <c r="K320" s="790">
        <f>VLOOKUP(I320,Prices!A:C,3,0)</f>
        <v>1</v>
      </c>
      <c r="L320" s="788">
        <v>20000</v>
      </c>
      <c r="M320" s="788">
        <v>20000</v>
      </c>
      <c r="N320" s="708">
        <f>VLOOKUP($I320,Prices!A:D,4,0)</f>
        <v>750</v>
      </c>
      <c r="O320" s="772">
        <f t="shared" si="23"/>
        <v>15000000</v>
      </c>
      <c r="P320" s="793">
        <f t="shared" si="22"/>
        <v>15000000</v>
      </c>
      <c r="Q320" s="869">
        <f>SUM(O320:O322)</f>
        <v>15158728</v>
      </c>
      <c r="R320" s="869">
        <f>Q320/VLOOKUP(H320,  'Currency Conversion'!B:C, 2, 0)</f>
        <v>14354856.060606061</v>
      </c>
      <c r="S320" s="886">
        <f>R320</f>
        <v>14354856.060606061</v>
      </c>
      <c r="T320" s="870" t="s">
        <v>240</v>
      </c>
      <c r="U320" s="854" t="s">
        <v>945</v>
      </c>
      <c r="V320" s="854" t="s">
        <v>945</v>
      </c>
      <c r="W320" s="854" t="s">
        <v>946</v>
      </c>
      <c r="X320" s="900" t="s">
        <v>194</v>
      </c>
      <c r="Y320" s="878">
        <v>0</v>
      </c>
      <c r="Z320" s="870">
        <v>0</v>
      </c>
      <c r="AA320" s="758" t="s">
        <v>947</v>
      </c>
      <c r="AB320" s="775"/>
      <c r="AC320" s="775"/>
      <c r="AD320" s="775"/>
      <c r="AE320" s="775"/>
      <c r="AF320" s="775"/>
      <c r="AG320" s="775"/>
      <c r="AH320" s="775"/>
      <c r="AI320" s="775"/>
      <c r="AJ320" s="775"/>
      <c r="AK320" s="775"/>
      <c r="AL320" s="775"/>
      <c r="AM320" s="775"/>
      <c r="AN320" s="775"/>
      <c r="AO320" s="775"/>
      <c r="AP320" s="775"/>
    </row>
    <row r="321" spans="1:42" s="141" customFormat="1" ht="21" customHeight="1">
      <c r="A321" s="868"/>
      <c r="B321" s="868"/>
      <c r="C321" s="867"/>
      <c r="D321" s="868"/>
      <c r="E321" s="868"/>
      <c r="F321" s="890"/>
      <c r="G321" s="875"/>
      <c r="H321" s="870"/>
      <c r="I321" s="775" t="s">
        <v>948</v>
      </c>
      <c r="J321" s="658">
        <f>VLOOKUP($I321,Prices!A:B,2,0)</f>
        <v>3</v>
      </c>
      <c r="K321" s="790">
        <f>VLOOKUP(I321,Prices!A:C,3,0)</f>
        <v>1</v>
      </c>
      <c r="L321" s="788">
        <v>815</v>
      </c>
      <c r="M321" s="788">
        <v>815</v>
      </c>
      <c r="N321" s="647">
        <f>VLOOKUP($I321,Prices!A:D,4,0)</f>
        <v>150</v>
      </c>
      <c r="O321" s="772">
        <f t="shared" si="23"/>
        <v>122250</v>
      </c>
      <c r="P321" s="793">
        <f t="shared" si="22"/>
        <v>122250</v>
      </c>
      <c r="Q321" s="869"/>
      <c r="R321" s="869"/>
      <c r="S321" s="886"/>
      <c r="T321" s="870"/>
      <c r="U321" s="854"/>
      <c r="V321" s="854"/>
      <c r="W321" s="854"/>
      <c r="X321" s="900"/>
      <c r="Y321" s="878"/>
      <c r="Z321" s="870"/>
      <c r="AA321" s="758" t="s">
        <v>949</v>
      </c>
      <c r="AB321" s="775"/>
      <c r="AC321" s="775"/>
      <c r="AD321" s="775"/>
      <c r="AE321" s="775"/>
      <c r="AF321" s="775"/>
      <c r="AG321" s="775"/>
      <c r="AH321" s="775"/>
      <c r="AI321" s="775"/>
      <c r="AJ321" s="775"/>
      <c r="AK321" s="775"/>
      <c r="AL321" s="775"/>
      <c r="AM321" s="775"/>
      <c r="AN321" s="775"/>
      <c r="AO321" s="775"/>
      <c r="AP321" s="775"/>
    </row>
    <row r="322" spans="1:42" s="141" customFormat="1" ht="20.100000000000001" customHeight="1">
      <c r="A322" s="868"/>
      <c r="B322" s="868"/>
      <c r="C322" s="867"/>
      <c r="D322" s="868"/>
      <c r="E322" s="868"/>
      <c r="F322" s="890"/>
      <c r="G322" s="875"/>
      <c r="H322" s="870"/>
      <c r="I322" s="775" t="s">
        <v>950</v>
      </c>
      <c r="J322" s="658">
        <f>VLOOKUP($I322,Prices!A:B,2,0)</f>
        <v>4.5</v>
      </c>
      <c r="K322" s="790">
        <f>VLOOKUP(I322,Prices!A:C,3,0)</f>
        <v>1</v>
      </c>
      <c r="L322" s="665">
        <v>122</v>
      </c>
      <c r="M322" s="788">
        <v>122</v>
      </c>
      <c r="N322" s="708">
        <f>VLOOKUP($I322,Prices!A:D,4,0)</f>
        <v>299</v>
      </c>
      <c r="O322" s="772">
        <f t="shared" si="23"/>
        <v>36478</v>
      </c>
      <c r="P322" s="793">
        <f t="shared" si="22"/>
        <v>36478</v>
      </c>
      <c r="Q322" s="869"/>
      <c r="R322" s="869"/>
      <c r="S322" s="886"/>
      <c r="T322" s="870"/>
      <c r="U322" s="854"/>
      <c r="V322" s="854"/>
      <c r="W322" s="854"/>
      <c r="X322" s="900"/>
      <c r="Y322" s="878"/>
      <c r="Z322" s="870"/>
      <c r="AA322" s="758" t="s">
        <v>951</v>
      </c>
      <c r="AB322" s="775"/>
      <c r="AC322" s="775"/>
      <c r="AD322" s="775"/>
      <c r="AE322" s="775"/>
      <c r="AF322" s="775"/>
      <c r="AG322" s="775"/>
      <c r="AH322" s="775"/>
      <c r="AI322" s="775"/>
      <c r="AJ322" s="775"/>
      <c r="AK322" s="775"/>
      <c r="AL322" s="775"/>
      <c r="AM322" s="775"/>
      <c r="AN322" s="775"/>
      <c r="AO322" s="775"/>
      <c r="AP322" s="775"/>
    </row>
    <row r="323" spans="1:42" s="141" customFormat="1" ht="20.100000000000001" customHeight="1">
      <c r="A323" s="868" t="s">
        <v>952</v>
      </c>
      <c r="B323" s="868" t="s">
        <v>926</v>
      </c>
      <c r="C323" s="867">
        <v>44707</v>
      </c>
      <c r="D323" s="868" t="s">
        <v>212</v>
      </c>
      <c r="E323" s="868" t="s">
        <v>320</v>
      </c>
      <c r="F323" s="890" t="s">
        <v>953</v>
      </c>
      <c r="G323" s="869" t="s">
        <v>201</v>
      </c>
      <c r="H323" s="870" t="s">
        <v>260</v>
      </c>
      <c r="I323" s="775" t="s">
        <v>954</v>
      </c>
      <c r="J323" s="658">
        <f>VLOOKUP($I323,Prices!A:B,2,0)</f>
        <v>4</v>
      </c>
      <c r="K323" s="790">
        <f>VLOOKUP(I323,Prices!A:C,3,0)</f>
        <v>1</v>
      </c>
      <c r="L323" s="665">
        <v>122</v>
      </c>
      <c r="M323" s="665" t="s">
        <v>194</v>
      </c>
      <c r="N323" s="647">
        <f>VLOOKUP($I323,Prices!A:D,4,0)</f>
        <v>964045</v>
      </c>
      <c r="O323" s="772">
        <f t="shared" si="23"/>
        <v>117613490</v>
      </c>
      <c r="P323" s="793" t="s">
        <v>194</v>
      </c>
      <c r="Q323" s="869">
        <f>SUM(O323:O330)</f>
        <v>246032390</v>
      </c>
      <c r="R323" s="869">
        <f>Q323/VLOOKUP(H323,  'Currency Conversion'!B:C, 2, 0)</f>
        <v>232985217.80303028</v>
      </c>
      <c r="S323" s="886" t="s">
        <v>194</v>
      </c>
      <c r="T323" s="870" t="s">
        <v>298</v>
      </c>
      <c r="U323" s="854" t="s">
        <v>955</v>
      </c>
      <c r="V323" s="854" t="s">
        <v>956</v>
      </c>
      <c r="W323" s="854" t="s">
        <v>957</v>
      </c>
      <c r="X323" s="883" t="s">
        <v>958</v>
      </c>
      <c r="Y323" s="870">
        <v>0</v>
      </c>
      <c r="Z323" s="870">
        <v>0</v>
      </c>
      <c r="AA323" s="897"/>
      <c r="AB323" s="775"/>
      <c r="AC323" s="775"/>
      <c r="AD323" s="775"/>
      <c r="AE323" s="775"/>
      <c r="AF323" s="775"/>
      <c r="AG323" s="775"/>
      <c r="AH323" s="775"/>
      <c r="AI323" s="775"/>
      <c r="AJ323" s="775"/>
      <c r="AK323" s="775"/>
      <c r="AL323" s="775"/>
      <c r="AM323" s="775"/>
      <c r="AN323" s="775"/>
      <c r="AO323" s="775"/>
      <c r="AP323" s="775"/>
    </row>
    <row r="324" spans="1:42" s="141" customFormat="1" ht="20.100000000000001" customHeight="1">
      <c r="A324" s="868"/>
      <c r="B324" s="868"/>
      <c r="C324" s="868"/>
      <c r="D324" s="868"/>
      <c r="E324" s="868"/>
      <c r="F324" s="890"/>
      <c r="G324" s="869"/>
      <c r="H324" s="870"/>
      <c r="I324" s="775" t="s">
        <v>959</v>
      </c>
      <c r="J324" s="658">
        <f>VLOOKUP($I324,Prices!A:B,2,0)</f>
        <v>3.5</v>
      </c>
      <c r="K324" s="790">
        <f>VLOOKUP(I324,Prices!A:C,3,0)</f>
        <v>0</v>
      </c>
      <c r="L324" s="665">
        <v>15000</v>
      </c>
      <c r="M324" s="665" t="s">
        <v>194</v>
      </c>
      <c r="N324" s="708">
        <f>VLOOKUP($I324,Prices!A:D,4,0)</f>
        <v>2500</v>
      </c>
      <c r="O324" s="772">
        <f t="shared" si="23"/>
        <v>37500000</v>
      </c>
      <c r="P324" s="793" t="s">
        <v>194</v>
      </c>
      <c r="Q324" s="869"/>
      <c r="R324" s="869"/>
      <c r="S324" s="886"/>
      <c r="T324" s="870"/>
      <c r="U324" s="854"/>
      <c r="V324" s="854"/>
      <c r="W324" s="854"/>
      <c r="X324" s="883"/>
      <c r="Y324" s="870"/>
      <c r="Z324" s="870"/>
      <c r="AA324" s="897"/>
      <c r="AB324" s="775"/>
      <c r="AC324" s="775"/>
      <c r="AD324" s="775"/>
      <c r="AE324" s="775"/>
      <c r="AF324" s="775"/>
      <c r="AG324" s="775"/>
      <c r="AH324" s="775"/>
      <c r="AI324" s="775"/>
      <c r="AJ324" s="775"/>
      <c r="AK324" s="775"/>
      <c r="AL324" s="775"/>
      <c r="AM324" s="775"/>
      <c r="AN324" s="775"/>
      <c r="AO324" s="775"/>
      <c r="AP324" s="775"/>
    </row>
    <row r="325" spans="1:42" s="141" customFormat="1" ht="20.100000000000001" customHeight="1">
      <c r="A325" s="868"/>
      <c r="B325" s="868"/>
      <c r="C325" s="868"/>
      <c r="D325" s="868"/>
      <c r="E325" s="868"/>
      <c r="F325" s="890"/>
      <c r="G325" s="869"/>
      <c r="H325" s="870"/>
      <c r="I325" s="775" t="s">
        <v>950</v>
      </c>
      <c r="J325" s="658">
        <f>VLOOKUP($I325,Prices!A:B,2,0)</f>
        <v>4.5</v>
      </c>
      <c r="K325" s="790">
        <f>VLOOKUP(I325,Prices!A:C,3,0)</f>
        <v>1</v>
      </c>
      <c r="L325" s="665">
        <v>2100</v>
      </c>
      <c r="M325" s="665" t="s">
        <v>194</v>
      </c>
      <c r="N325" s="647">
        <f>VLOOKUP($I325,Prices!A:D,4,0)</f>
        <v>299</v>
      </c>
      <c r="O325" s="772">
        <f t="shared" si="23"/>
        <v>627900</v>
      </c>
      <c r="P325" s="793" t="s">
        <v>194</v>
      </c>
      <c r="Q325" s="869"/>
      <c r="R325" s="869"/>
      <c r="S325" s="886"/>
      <c r="T325" s="870"/>
      <c r="U325" s="854"/>
      <c r="V325" s="854"/>
      <c r="W325" s="854"/>
      <c r="X325" s="883"/>
      <c r="Y325" s="870"/>
      <c r="Z325" s="870"/>
      <c r="AA325" s="897"/>
      <c r="AB325" s="775"/>
      <c r="AC325" s="775"/>
      <c r="AD325" s="775"/>
      <c r="AE325" s="775"/>
      <c r="AF325" s="775"/>
      <c r="AG325" s="775"/>
      <c r="AH325" s="775"/>
      <c r="AI325" s="775"/>
      <c r="AJ325" s="775"/>
      <c r="AK325" s="775"/>
      <c r="AL325" s="775"/>
      <c r="AM325" s="775"/>
      <c r="AN325" s="775"/>
      <c r="AO325" s="775"/>
      <c r="AP325" s="775"/>
    </row>
    <row r="326" spans="1:42" s="141" customFormat="1" ht="20.100000000000001" customHeight="1">
      <c r="A326" s="868"/>
      <c r="B326" s="868"/>
      <c r="C326" s="868"/>
      <c r="D326" s="868"/>
      <c r="E326" s="868"/>
      <c r="F326" s="890"/>
      <c r="G326" s="869"/>
      <c r="H326" s="870"/>
      <c r="I326" s="775" t="s">
        <v>960</v>
      </c>
      <c r="J326" s="658">
        <f>VLOOKUP($I326,Prices!A:B,2,0)</f>
        <v>2.5</v>
      </c>
      <c r="K326" s="790">
        <f>VLOOKUP(I326,Prices!A:C,3,0)</f>
        <v>0</v>
      </c>
      <c r="L326" s="665">
        <v>3200000</v>
      </c>
      <c r="M326" s="665" t="s">
        <v>194</v>
      </c>
      <c r="N326" s="708">
        <f>VLOOKUP($I326,Prices!A:D,4,0)</f>
        <v>0.57999999999999996</v>
      </c>
      <c r="O326" s="772">
        <f t="shared" si="23"/>
        <v>1855999.9999999998</v>
      </c>
      <c r="P326" s="793" t="s">
        <v>194</v>
      </c>
      <c r="Q326" s="869"/>
      <c r="R326" s="869"/>
      <c r="S326" s="886"/>
      <c r="T326" s="870"/>
      <c r="U326" s="854"/>
      <c r="V326" s="854"/>
      <c r="W326" s="854"/>
      <c r="X326" s="883"/>
      <c r="Y326" s="870"/>
      <c r="Z326" s="870"/>
      <c r="AA326" s="897"/>
      <c r="AB326" s="775"/>
      <c r="AC326" s="775"/>
      <c r="AD326" s="775"/>
      <c r="AE326" s="775"/>
      <c r="AF326" s="775"/>
      <c r="AG326" s="775"/>
      <c r="AH326" s="775"/>
      <c r="AI326" s="775"/>
      <c r="AJ326" s="775"/>
      <c r="AK326" s="775"/>
      <c r="AL326" s="775"/>
      <c r="AM326" s="775"/>
      <c r="AN326" s="775"/>
      <c r="AO326" s="775"/>
      <c r="AP326" s="775"/>
    </row>
    <row r="327" spans="1:42" s="141" customFormat="1" ht="21.95" customHeight="1">
      <c r="A327" s="868"/>
      <c r="B327" s="868"/>
      <c r="C327" s="868"/>
      <c r="D327" s="868"/>
      <c r="E327" s="868"/>
      <c r="F327" s="890"/>
      <c r="G327" s="869"/>
      <c r="H327" s="870"/>
      <c r="I327" s="775" t="s">
        <v>944</v>
      </c>
      <c r="J327" s="658">
        <f>VLOOKUP($I327,Prices!A:B,2,0)</f>
        <v>2</v>
      </c>
      <c r="K327" s="790">
        <f>VLOOKUP(I327,Prices!A:C,3,0)</f>
        <v>1</v>
      </c>
      <c r="L327" s="788">
        <v>20000</v>
      </c>
      <c r="M327" s="788" t="s">
        <v>194</v>
      </c>
      <c r="N327" s="647">
        <f>VLOOKUP($I327,Prices!A:D,4,0)</f>
        <v>750</v>
      </c>
      <c r="O327" s="772">
        <f t="shared" si="23"/>
        <v>15000000</v>
      </c>
      <c r="P327" s="793" t="s">
        <v>194</v>
      </c>
      <c r="Q327" s="869"/>
      <c r="R327" s="869"/>
      <c r="S327" s="886"/>
      <c r="T327" s="870"/>
      <c r="U327" s="854"/>
      <c r="V327" s="854"/>
      <c r="W327" s="854"/>
      <c r="X327" s="883"/>
      <c r="Y327" s="870"/>
      <c r="Z327" s="870"/>
      <c r="AA327" s="897"/>
      <c r="AB327" s="775"/>
      <c r="AC327" s="775"/>
      <c r="AD327" s="775"/>
      <c r="AE327" s="775"/>
      <c r="AF327" s="775"/>
      <c r="AG327" s="775"/>
      <c r="AH327" s="775"/>
      <c r="AI327" s="775"/>
      <c r="AJ327" s="775"/>
      <c r="AK327" s="775"/>
      <c r="AL327" s="775"/>
      <c r="AM327" s="775"/>
      <c r="AN327" s="775"/>
      <c r="AO327" s="775"/>
      <c r="AP327" s="775"/>
    </row>
    <row r="328" spans="1:42" s="141" customFormat="1" ht="20.100000000000001" customHeight="1">
      <c r="A328" s="868"/>
      <c r="B328" s="868"/>
      <c r="C328" s="868"/>
      <c r="D328" s="868"/>
      <c r="E328" s="868"/>
      <c r="F328" s="890"/>
      <c r="G328" s="869"/>
      <c r="H328" s="870"/>
      <c r="I328" s="775" t="s">
        <v>961</v>
      </c>
      <c r="J328" s="658">
        <f>VLOOKUP($I328,Prices!A:B,2,0)</f>
        <v>3.5</v>
      </c>
      <c r="K328" s="790">
        <f>VLOOKUP(I328,Prices!A:C,3,0)</f>
        <v>0</v>
      </c>
      <c r="L328" s="665">
        <v>60</v>
      </c>
      <c r="M328" s="665" t="s">
        <v>194</v>
      </c>
      <c r="N328" s="708">
        <f>VLOOKUP($I328,Prices!A:D,4,0)</f>
        <v>119000</v>
      </c>
      <c r="O328" s="772">
        <f t="shared" si="23"/>
        <v>7140000</v>
      </c>
      <c r="P328" s="793" t="s">
        <v>194</v>
      </c>
      <c r="Q328" s="869"/>
      <c r="R328" s="869"/>
      <c r="S328" s="886"/>
      <c r="T328" s="870"/>
      <c r="U328" s="854"/>
      <c r="V328" s="854"/>
      <c r="W328" s="854"/>
      <c r="X328" s="883"/>
      <c r="Y328" s="870"/>
      <c r="Z328" s="870"/>
      <c r="AA328" s="897"/>
      <c r="AB328" s="775"/>
      <c r="AC328" s="775"/>
      <c r="AD328" s="775"/>
      <c r="AE328" s="775"/>
      <c r="AF328" s="775"/>
      <c r="AG328" s="775"/>
      <c r="AH328" s="775"/>
      <c r="AI328" s="775"/>
      <c r="AJ328" s="775"/>
      <c r="AK328" s="775"/>
      <c r="AL328" s="775"/>
      <c r="AM328" s="775"/>
      <c r="AN328" s="775"/>
      <c r="AO328" s="775"/>
      <c r="AP328" s="775"/>
    </row>
    <row r="329" spans="1:42" s="141" customFormat="1" ht="20.100000000000001" customHeight="1">
      <c r="A329" s="868"/>
      <c r="B329" s="868"/>
      <c r="C329" s="868"/>
      <c r="D329" s="868"/>
      <c r="E329" s="868"/>
      <c r="F329" s="890"/>
      <c r="G329" s="869"/>
      <c r="H329" s="870"/>
      <c r="I329" s="775" t="s">
        <v>438</v>
      </c>
      <c r="J329" s="658">
        <f>VLOOKUP($I329,Prices!A:B,2,0)</f>
        <v>4.5</v>
      </c>
      <c r="K329" s="790">
        <f>VLOOKUP(I329,Prices!A:C,3,0)</f>
        <v>0</v>
      </c>
      <c r="L329" s="665">
        <v>17000</v>
      </c>
      <c r="M329" s="665" t="s">
        <v>194</v>
      </c>
      <c r="N329" s="647">
        <f>VLOOKUP($I329,Prices!A:D,4,0)</f>
        <v>3890</v>
      </c>
      <c r="O329" s="772">
        <f t="shared" si="23"/>
        <v>66130000</v>
      </c>
      <c r="P329" s="793" t="s">
        <v>194</v>
      </c>
      <c r="Q329" s="869"/>
      <c r="R329" s="869"/>
      <c r="S329" s="886"/>
      <c r="T329" s="870"/>
      <c r="U329" s="854"/>
      <c r="V329" s="854"/>
      <c r="W329" s="854"/>
      <c r="X329" s="883"/>
      <c r="Y329" s="870"/>
      <c r="Z329" s="870"/>
      <c r="AA329" s="897"/>
      <c r="AB329" s="775"/>
      <c r="AC329" s="775"/>
      <c r="AD329" s="775"/>
      <c r="AE329" s="775"/>
      <c r="AF329" s="775"/>
      <c r="AG329" s="775"/>
      <c r="AH329" s="775"/>
      <c r="AI329" s="775"/>
      <c r="AJ329" s="775"/>
      <c r="AK329" s="775"/>
      <c r="AL329" s="775"/>
      <c r="AM329" s="775"/>
      <c r="AN329" s="775"/>
      <c r="AO329" s="775"/>
      <c r="AP329" s="775"/>
    </row>
    <row r="330" spans="1:42" s="141" customFormat="1" ht="23.25" customHeight="1">
      <c r="A330" s="868"/>
      <c r="B330" s="868"/>
      <c r="C330" s="868"/>
      <c r="D330" s="868"/>
      <c r="E330" s="868"/>
      <c r="F330" s="890"/>
      <c r="G330" s="869"/>
      <c r="H330" s="870"/>
      <c r="I330" s="775" t="s">
        <v>948</v>
      </c>
      <c r="J330" s="658">
        <f>VLOOKUP($I330,Prices!A:B,2,0)</f>
        <v>3</v>
      </c>
      <c r="K330" s="790">
        <f>VLOOKUP(I330,Prices!A:C,3,0)</f>
        <v>1</v>
      </c>
      <c r="L330" s="665">
        <v>1100</v>
      </c>
      <c r="M330" s="665" t="s">
        <v>194</v>
      </c>
      <c r="N330" s="708">
        <f>VLOOKUP($I330,Prices!A:D,4,0)</f>
        <v>150</v>
      </c>
      <c r="O330" s="772">
        <f t="shared" ref="O330:O351" si="24">$L330*$N330</f>
        <v>165000</v>
      </c>
      <c r="P330" s="793" t="s">
        <v>194</v>
      </c>
      <c r="Q330" s="869"/>
      <c r="R330" s="869"/>
      <c r="S330" s="886"/>
      <c r="T330" s="870"/>
      <c r="U330" s="854"/>
      <c r="V330" s="854"/>
      <c r="W330" s="854"/>
      <c r="X330" s="883"/>
      <c r="Y330" s="870"/>
      <c r="Z330" s="870"/>
      <c r="AA330" s="897"/>
      <c r="AB330" s="775"/>
      <c r="AC330" s="775"/>
      <c r="AD330" s="775"/>
      <c r="AE330" s="775"/>
      <c r="AF330" s="775"/>
      <c r="AG330" s="775"/>
      <c r="AH330" s="775"/>
      <c r="AI330" s="775"/>
      <c r="AJ330" s="775"/>
      <c r="AK330" s="775"/>
      <c r="AL330" s="775"/>
      <c r="AM330" s="775"/>
      <c r="AN330" s="775"/>
      <c r="AO330" s="775"/>
      <c r="AP330" s="775"/>
    </row>
    <row r="331" spans="1:42" ht="24" customHeight="1">
      <c r="A331" s="879" t="s">
        <v>962</v>
      </c>
      <c r="B331" s="879" t="s">
        <v>963</v>
      </c>
      <c r="C331" s="906">
        <v>44619</v>
      </c>
      <c r="D331" s="879" t="s">
        <v>190</v>
      </c>
      <c r="E331" s="879" t="s">
        <v>199</v>
      </c>
      <c r="F331" s="884" t="s">
        <v>964</v>
      </c>
      <c r="G331" s="916" t="s">
        <v>201</v>
      </c>
      <c r="H331" s="888" t="s">
        <v>260</v>
      </c>
      <c r="I331" s="767" t="s">
        <v>965</v>
      </c>
      <c r="J331" s="658">
        <f>VLOOKUP($I331,Prices!A:B,2,0)</f>
        <v>0</v>
      </c>
      <c r="K331" s="790">
        <f>VLOOKUP(I331,Prices!A:C,3,0)</f>
        <v>0</v>
      </c>
      <c r="L331" s="651">
        <v>32000</v>
      </c>
      <c r="M331" s="651" t="s">
        <v>194</v>
      </c>
      <c r="N331" s="647">
        <f>VLOOKUP($I331,Prices!A:D,4,0)</f>
        <v>1.29</v>
      </c>
      <c r="O331" s="772">
        <f t="shared" si="24"/>
        <v>41280</v>
      </c>
      <c r="P331" s="793" t="s">
        <v>194</v>
      </c>
      <c r="Q331" s="877">
        <f>SUM(O331:O333)</f>
        <v>187720</v>
      </c>
      <c r="R331" s="877">
        <f>Q331/VLOOKUP(H331, 'Currency Conversion'!B:C, 2, 0)</f>
        <v>177765.15151515152</v>
      </c>
      <c r="S331" s="891" t="s">
        <v>194</v>
      </c>
      <c r="T331" s="888" t="s">
        <v>325</v>
      </c>
      <c r="U331" s="854" t="s">
        <v>966</v>
      </c>
      <c r="V331" s="854" t="s">
        <v>967</v>
      </c>
      <c r="W331" s="884" t="s">
        <v>194</v>
      </c>
      <c r="X331" s="896" t="s">
        <v>194</v>
      </c>
      <c r="Y331" s="878">
        <v>0</v>
      </c>
      <c r="Z331" s="888">
        <v>0</v>
      </c>
      <c r="AA331" s="893" t="s">
        <v>194</v>
      </c>
      <c r="AB331" s="767"/>
      <c r="AC331" s="767"/>
      <c r="AD331" s="767"/>
      <c r="AE331" s="767"/>
      <c r="AF331" s="767"/>
      <c r="AG331" s="767"/>
      <c r="AH331" s="767"/>
      <c r="AI331" s="767"/>
      <c r="AJ331" s="767"/>
      <c r="AK331" s="767"/>
      <c r="AL331" s="767"/>
      <c r="AM331" s="767"/>
      <c r="AN331" s="767"/>
      <c r="AO331" s="767"/>
      <c r="AP331" s="767"/>
    </row>
    <row r="332" spans="1:42" ht="19.5" customHeight="1">
      <c r="A332" s="879"/>
      <c r="B332" s="879"/>
      <c r="C332" s="906"/>
      <c r="D332" s="879"/>
      <c r="E332" s="879"/>
      <c r="F332" s="884"/>
      <c r="G332" s="916"/>
      <c r="H332" s="888"/>
      <c r="I332" s="767" t="s">
        <v>968</v>
      </c>
      <c r="J332" s="658">
        <f>VLOOKUP($I332,Prices!A:B,2,0)</f>
        <v>0</v>
      </c>
      <c r="K332" s="790">
        <f>VLOOKUP(I332,Prices!A:C,3,0)</f>
        <v>0</v>
      </c>
      <c r="L332" s="651">
        <v>68000</v>
      </c>
      <c r="M332" s="651" t="s">
        <v>194</v>
      </c>
      <c r="N332" s="708">
        <f>VLOOKUP($I332,Prices!A:D,4,0)</f>
        <v>1.33</v>
      </c>
      <c r="O332" s="772">
        <f t="shared" si="24"/>
        <v>90440</v>
      </c>
      <c r="P332" s="793" t="s">
        <v>194</v>
      </c>
      <c r="Q332" s="877"/>
      <c r="R332" s="877"/>
      <c r="S332" s="891"/>
      <c r="T332" s="888"/>
      <c r="U332" s="854"/>
      <c r="V332" s="854"/>
      <c r="W332" s="884"/>
      <c r="X332" s="896"/>
      <c r="Y332" s="878"/>
      <c r="Z332" s="888"/>
      <c r="AA332" s="893"/>
      <c r="AB332" s="767"/>
      <c r="AC332" s="767"/>
      <c r="AD332" s="767"/>
      <c r="AE332" s="767"/>
      <c r="AF332" s="767"/>
      <c r="AG332" s="767"/>
      <c r="AH332" s="767"/>
      <c r="AI332" s="767"/>
      <c r="AJ332" s="767"/>
      <c r="AK332" s="767"/>
      <c r="AL332" s="767"/>
      <c r="AM332" s="767"/>
      <c r="AN332" s="767"/>
      <c r="AO332" s="767"/>
      <c r="AP332" s="767"/>
    </row>
    <row r="333" spans="1:42" ht="17.25" customHeight="1">
      <c r="A333" s="879"/>
      <c r="B333" s="879"/>
      <c r="C333" s="906"/>
      <c r="D333" s="879"/>
      <c r="E333" s="879"/>
      <c r="F333" s="884"/>
      <c r="G333" s="916"/>
      <c r="H333" s="888"/>
      <c r="I333" s="767" t="s">
        <v>492</v>
      </c>
      <c r="J333" s="658">
        <f>VLOOKUP($I333,Prices!A:B,2,0)</f>
        <v>0</v>
      </c>
      <c r="K333" s="790">
        <f>VLOOKUP(I333,Prices!A:C,3,0)</f>
        <v>0</v>
      </c>
      <c r="L333" s="651">
        <v>28</v>
      </c>
      <c r="M333" s="651" t="s">
        <v>194</v>
      </c>
      <c r="N333" s="647">
        <f>VLOOKUP($I333,Prices!A:D,4,0)</f>
        <v>2000</v>
      </c>
      <c r="O333" s="772">
        <f t="shared" si="24"/>
        <v>56000</v>
      </c>
      <c r="P333" s="793" t="s">
        <v>194</v>
      </c>
      <c r="Q333" s="877"/>
      <c r="R333" s="877"/>
      <c r="S333" s="891"/>
      <c r="T333" s="888"/>
      <c r="U333" s="854"/>
      <c r="V333" s="854"/>
      <c r="W333" s="884"/>
      <c r="X333" s="896"/>
      <c r="Y333" s="878"/>
      <c r="Z333" s="888"/>
      <c r="AA333" s="893"/>
      <c r="AB333" s="767"/>
      <c r="AC333" s="767"/>
      <c r="AD333" s="767"/>
      <c r="AE333" s="767"/>
      <c r="AF333" s="767"/>
      <c r="AG333" s="767"/>
      <c r="AH333" s="767"/>
      <c r="AI333" s="767"/>
      <c r="AJ333" s="767"/>
      <c r="AK333" s="767"/>
      <c r="AL333" s="767"/>
      <c r="AM333" s="767"/>
      <c r="AN333" s="767"/>
      <c r="AO333" s="767"/>
      <c r="AP333" s="767"/>
    </row>
    <row r="334" spans="1:42" ht="21" customHeight="1">
      <c r="A334" s="879" t="s">
        <v>969</v>
      </c>
      <c r="B334" s="879" t="s">
        <v>963</v>
      </c>
      <c r="C334" s="906" t="s">
        <v>970</v>
      </c>
      <c r="D334" s="879" t="s">
        <v>190</v>
      </c>
      <c r="E334" s="879" t="s">
        <v>199</v>
      </c>
      <c r="F334" s="884" t="s">
        <v>971</v>
      </c>
      <c r="G334" s="916" t="s">
        <v>201</v>
      </c>
      <c r="H334" s="888" t="s">
        <v>260</v>
      </c>
      <c r="I334" s="767" t="s">
        <v>972</v>
      </c>
      <c r="J334" s="658">
        <f>VLOOKUP($I334,Prices!A:B,2,0)</f>
        <v>0</v>
      </c>
      <c r="K334" s="790">
        <f>VLOOKUP(I334,Prices!A:C,3,0)</f>
        <v>0</v>
      </c>
      <c r="L334" s="651">
        <v>200</v>
      </c>
      <c r="M334" s="651" t="s">
        <v>194</v>
      </c>
      <c r="N334" s="708">
        <f>VLOOKUP($I334,Prices!A:D,4,0)</f>
        <v>27500</v>
      </c>
      <c r="O334" s="772">
        <f t="shared" si="24"/>
        <v>5500000</v>
      </c>
      <c r="P334" s="793" t="s">
        <v>194</v>
      </c>
      <c r="Q334" s="877">
        <f>SUM(O334:O337)</f>
        <v>6506250</v>
      </c>
      <c r="R334" s="877">
        <f>Q334/VLOOKUP(H334, 'Currency Conversion'!B:C, 2, 0)</f>
        <v>6161221.5909090908</v>
      </c>
      <c r="S334" s="891" t="s">
        <v>194</v>
      </c>
      <c r="T334" s="888" t="s">
        <v>195</v>
      </c>
      <c r="U334" s="854" t="s">
        <v>973</v>
      </c>
      <c r="V334" s="854" t="s">
        <v>974</v>
      </c>
      <c r="W334" s="884" t="s">
        <v>194</v>
      </c>
      <c r="X334" s="896" t="s">
        <v>194</v>
      </c>
      <c r="Y334" s="878">
        <v>0</v>
      </c>
      <c r="Z334" s="888">
        <v>0</v>
      </c>
      <c r="AA334" s="893" t="s">
        <v>194</v>
      </c>
      <c r="AB334" s="767"/>
      <c r="AC334" s="767"/>
      <c r="AD334" s="767"/>
      <c r="AE334" s="767"/>
      <c r="AF334" s="767"/>
      <c r="AG334" s="767"/>
      <c r="AH334" s="767"/>
      <c r="AI334" s="767"/>
      <c r="AJ334" s="767"/>
      <c r="AK334" s="767"/>
      <c r="AL334" s="767"/>
      <c r="AM334" s="767"/>
      <c r="AN334" s="767"/>
      <c r="AO334" s="767"/>
      <c r="AP334" s="767"/>
    </row>
    <row r="335" spans="1:42" ht="15.95" customHeight="1">
      <c r="A335" s="879"/>
      <c r="B335" s="879"/>
      <c r="C335" s="906"/>
      <c r="D335" s="879"/>
      <c r="E335" s="879"/>
      <c r="F335" s="884"/>
      <c r="G335" s="916"/>
      <c r="H335" s="888"/>
      <c r="I335" s="767" t="s">
        <v>975</v>
      </c>
      <c r="J335" s="658">
        <f>VLOOKUP($I335,Prices!A:B,2,0)</f>
        <v>0</v>
      </c>
      <c r="K335" s="790">
        <f>VLOOKUP(I335,Prices!A:C,3,0)</f>
        <v>0</v>
      </c>
      <c r="L335" s="651">
        <v>250</v>
      </c>
      <c r="M335" s="651" t="s">
        <v>194</v>
      </c>
      <c r="N335" s="708">
        <f>VLOOKUP($I335,Prices!A:D,4,0)</f>
        <v>4000</v>
      </c>
      <c r="O335" s="772">
        <f t="shared" si="24"/>
        <v>1000000</v>
      </c>
      <c r="P335" s="793" t="s">
        <v>194</v>
      </c>
      <c r="Q335" s="877"/>
      <c r="R335" s="877"/>
      <c r="S335" s="891"/>
      <c r="T335" s="888"/>
      <c r="U335" s="854"/>
      <c r="V335" s="854"/>
      <c r="W335" s="884"/>
      <c r="X335" s="896"/>
      <c r="Y335" s="878"/>
      <c r="Z335" s="888"/>
      <c r="AA335" s="893"/>
      <c r="AB335" s="767"/>
      <c r="AC335" s="767"/>
      <c r="AD335" s="767"/>
      <c r="AE335" s="767"/>
      <c r="AF335" s="767"/>
      <c r="AG335" s="767"/>
      <c r="AH335" s="767"/>
      <c r="AI335" s="767"/>
      <c r="AJ335" s="767"/>
      <c r="AK335" s="767"/>
      <c r="AL335" s="767"/>
      <c r="AM335" s="767"/>
      <c r="AN335" s="767"/>
      <c r="AO335" s="767"/>
      <c r="AP335" s="767"/>
    </row>
    <row r="336" spans="1:42" ht="15.95" customHeight="1">
      <c r="A336" s="879"/>
      <c r="B336" s="879"/>
      <c r="C336" s="906"/>
      <c r="D336" s="879"/>
      <c r="E336" s="879"/>
      <c r="F336" s="884"/>
      <c r="G336" s="916"/>
      <c r="H336" s="888"/>
      <c r="I336" s="767" t="s">
        <v>976</v>
      </c>
      <c r="J336" s="658">
        <f>VLOOKUP($I336,Prices!A:B,2,0)</f>
        <v>0</v>
      </c>
      <c r="K336" s="790">
        <f>VLOOKUP(I336,Prices!A:C,3,0)</f>
        <v>0</v>
      </c>
      <c r="L336" s="651">
        <v>25</v>
      </c>
      <c r="M336" s="651" t="s">
        <v>194</v>
      </c>
      <c r="N336" s="647">
        <f>VLOOKUP($I336,Prices!A:D,4,0)</f>
        <v>250</v>
      </c>
      <c r="O336" s="772">
        <f t="shared" si="24"/>
        <v>6250</v>
      </c>
      <c r="P336" s="793" t="s">
        <v>194</v>
      </c>
      <c r="Q336" s="877"/>
      <c r="R336" s="877"/>
      <c r="S336" s="891"/>
      <c r="T336" s="888"/>
      <c r="U336" s="854"/>
      <c r="V336" s="854"/>
      <c r="W336" s="884"/>
      <c r="X336" s="896"/>
      <c r="Y336" s="878"/>
      <c r="Z336" s="888"/>
      <c r="AA336" s="893"/>
      <c r="AB336" s="767"/>
      <c r="AC336" s="767"/>
      <c r="AD336" s="767"/>
      <c r="AE336" s="767"/>
      <c r="AF336" s="767"/>
      <c r="AG336" s="767"/>
      <c r="AH336" s="767"/>
      <c r="AI336" s="767"/>
      <c r="AJ336" s="767"/>
      <c r="AK336" s="767"/>
      <c r="AL336" s="767"/>
      <c r="AM336" s="767"/>
      <c r="AN336" s="767"/>
      <c r="AO336" s="767"/>
      <c r="AP336" s="767"/>
    </row>
    <row r="337" spans="1:42" ht="15.95" customHeight="1">
      <c r="A337" s="879"/>
      <c r="B337" s="879"/>
      <c r="C337" s="906"/>
      <c r="D337" s="879"/>
      <c r="E337" s="879"/>
      <c r="F337" s="884"/>
      <c r="G337" s="916"/>
      <c r="H337" s="888"/>
      <c r="I337" s="767" t="s">
        <v>977</v>
      </c>
      <c r="J337" s="658">
        <f>VLOOKUP($I337,Prices!A:B,2,0)</f>
        <v>0</v>
      </c>
      <c r="K337" s="790">
        <f>VLOOKUP(I337,Prices!A:C,3,0)</f>
        <v>0</v>
      </c>
      <c r="L337" s="651">
        <v>100</v>
      </c>
      <c r="M337" s="651" t="s">
        <v>194</v>
      </c>
      <c r="N337" s="708" t="str">
        <f>VLOOKUP($I337,Prices!A:D,4,0)</f>
        <v>.</v>
      </c>
      <c r="O337" s="772" t="s">
        <v>194</v>
      </c>
      <c r="P337" s="793" t="s">
        <v>194</v>
      </c>
      <c r="Q337" s="877"/>
      <c r="R337" s="877"/>
      <c r="S337" s="891"/>
      <c r="T337" s="888"/>
      <c r="U337" s="854"/>
      <c r="V337" s="854"/>
      <c r="W337" s="884"/>
      <c r="X337" s="896"/>
      <c r="Y337" s="878"/>
      <c r="Z337" s="888"/>
      <c r="AA337" s="893"/>
      <c r="AB337" s="767"/>
      <c r="AC337" s="767"/>
      <c r="AD337" s="767"/>
      <c r="AE337" s="767"/>
      <c r="AF337" s="767"/>
      <c r="AG337" s="767"/>
      <c r="AH337" s="767"/>
      <c r="AI337" s="767"/>
      <c r="AJ337" s="767"/>
      <c r="AK337" s="767"/>
      <c r="AL337" s="767"/>
      <c r="AM337" s="767"/>
      <c r="AN337" s="767"/>
      <c r="AO337" s="767"/>
      <c r="AP337" s="767"/>
    </row>
    <row r="338" spans="1:42" ht="60" customHeight="1">
      <c r="A338" s="767" t="s">
        <v>978</v>
      </c>
      <c r="B338" s="767" t="s">
        <v>963</v>
      </c>
      <c r="C338" s="768">
        <v>44641</v>
      </c>
      <c r="D338" s="767" t="s">
        <v>190</v>
      </c>
      <c r="E338" s="767" t="s">
        <v>199</v>
      </c>
      <c r="F338" s="787" t="s">
        <v>979</v>
      </c>
      <c r="G338" s="770" t="s">
        <v>259</v>
      </c>
      <c r="H338" s="761" t="s">
        <v>194</v>
      </c>
      <c r="I338" s="767" t="s">
        <v>194</v>
      </c>
      <c r="J338" s="658" t="str">
        <f>VLOOKUP($I338,Prices!A:B,2,0)</f>
        <v>.</v>
      </c>
      <c r="K338" s="790" t="s">
        <v>194</v>
      </c>
      <c r="L338" s="651" t="s">
        <v>194</v>
      </c>
      <c r="M338" s="651" t="s">
        <v>194</v>
      </c>
      <c r="N338" s="647" t="str">
        <f>VLOOKUP($I338,Prices!A:D,4,0)</f>
        <v>.</v>
      </c>
      <c r="O338" s="772" t="s">
        <v>194</v>
      </c>
      <c r="P338" s="793" t="s">
        <v>194</v>
      </c>
      <c r="Q338" s="769" t="s">
        <v>194</v>
      </c>
      <c r="R338" s="769" t="s">
        <v>194</v>
      </c>
      <c r="S338" s="763" t="s">
        <v>194</v>
      </c>
      <c r="T338" s="761" t="s">
        <v>240</v>
      </c>
      <c r="U338" s="756" t="s">
        <v>973</v>
      </c>
      <c r="V338" s="756" t="s">
        <v>980</v>
      </c>
      <c r="W338" s="787" t="s">
        <v>194</v>
      </c>
      <c r="X338" s="771" t="s">
        <v>194</v>
      </c>
      <c r="Y338" s="759">
        <v>0</v>
      </c>
      <c r="Z338" s="761">
        <v>0</v>
      </c>
      <c r="AA338" s="802" t="s">
        <v>194</v>
      </c>
      <c r="AB338" s="767"/>
      <c r="AC338" s="767"/>
      <c r="AD338" s="767"/>
      <c r="AE338" s="767"/>
      <c r="AF338" s="767"/>
      <c r="AG338" s="767"/>
      <c r="AH338" s="767"/>
      <c r="AI338" s="767"/>
      <c r="AJ338" s="767"/>
      <c r="AK338" s="767"/>
      <c r="AL338" s="767"/>
      <c r="AM338" s="767"/>
      <c r="AN338" s="767"/>
      <c r="AO338" s="767"/>
      <c r="AP338" s="767"/>
    </row>
    <row r="339" spans="1:42" ht="47.25">
      <c r="A339" s="767" t="s">
        <v>978</v>
      </c>
      <c r="B339" s="767" t="s">
        <v>963</v>
      </c>
      <c r="C339" s="768">
        <v>44643</v>
      </c>
      <c r="D339" s="767" t="s">
        <v>190</v>
      </c>
      <c r="E339" s="767" t="s">
        <v>191</v>
      </c>
      <c r="F339" s="787" t="s">
        <v>981</v>
      </c>
      <c r="G339" s="770">
        <v>66000000</v>
      </c>
      <c r="H339" s="761" t="s">
        <v>982</v>
      </c>
      <c r="I339" s="767" t="s">
        <v>194</v>
      </c>
      <c r="J339" s="658" t="str">
        <f>VLOOKUP($I339,Prices!A:B,2,0)</f>
        <v>.</v>
      </c>
      <c r="K339" s="790" t="s">
        <v>194</v>
      </c>
      <c r="L339" s="651" t="s">
        <v>194</v>
      </c>
      <c r="M339" s="651" t="s">
        <v>194</v>
      </c>
      <c r="N339" s="708" t="str">
        <f>VLOOKUP($I339,Prices!A:D,4,0)</f>
        <v>.</v>
      </c>
      <c r="O339" s="772" t="s">
        <v>194</v>
      </c>
      <c r="P339" s="793" t="s">
        <v>194</v>
      </c>
      <c r="Q339" s="772">
        <f>G339</f>
        <v>66000000</v>
      </c>
      <c r="R339" s="772">
        <f>Q339/VLOOKUP(H339,'Currency Conversion'!B:C,2,0)</f>
        <v>166305.49816056038</v>
      </c>
      <c r="S339" s="763" t="s">
        <v>194</v>
      </c>
      <c r="T339" s="761" t="s">
        <v>195</v>
      </c>
      <c r="U339" s="756" t="s">
        <v>983</v>
      </c>
      <c r="V339" s="787" t="s">
        <v>194</v>
      </c>
      <c r="W339" s="787" t="s">
        <v>194</v>
      </c>
      <c r="X339" s="771" t="s">
        <v>194</v>
      </c>
      <c r="Y339" s="759">
        <v>0</v>
      </c>
      <c r="Z339" s="761">
        <v>0</v>
      </c>
      <c r="AA339" s="802" t="s">
        <v>194</v>
      </c>
      <c r="AB339" s="767"/>
      <c r="AC339" s="767"/>
      <c r="AD339" s="767"/>
      <c r="AE339" s="767"/>
      <c r="AF339" s="767"/>
      <c r="AG339" s="767"/>
      <c r="AH339" s="767"/>
      <c r="AI339" s="767"/>
      <c r="AJ339" s="767"/>
      <c r="AK339" s="767"/>
      <c r="AL339" s="767"/>
      <c r="AM339" s="767"/>
      <c r="AN339" s="767"/>
      <c r="AO339" s="767"/>
      <c r="AP339" s="767"/>
    </row>
    <row r="340" spans="1:42" s="141" customFormat="1" ht="48" customHeight="1">
      <c r="A340" s="775" t="s">
        <v>984</v>
      </c>
      <c r="B340" s="775" t="s">
        <v>963</v>
      </c>
      <c r="C340" s="776" t="s">
        <v>985</v>
      </c>
      <c r="D340" s="775" t="s">
        <v>190</v>
      </c>
      <c r="E340" s="775" t="s">
        <v>199</v>
      </c>
      <c r="F340" s="773" t="s">
        <v>986</v>
      </c>
      <c r="G340" s="777" t="s">
        <v>259</v>
      </c>
      <c r="H340" s="757" t="s">
        <v>260</v>
      </c>
      <c r="I340" s="775" t="s">
        <v>987</v>
      </c>
      <c r="J340" s="658">
        <f>VLOOKUP($I340,Prices!A:B,2,0)</f>
        <v>0</v>
      </c>
      <c r="K340" s="790">
        <f>VLOOKUP(I340,Prices!A:C,3,0)</f>
        <v>0</v>
      </c>
      <c r="L340" s="788">
        <v>1300</v>
      </c>
      <c r="M340" s="651" t="s">
        <v>194</v>
      </c>
      <c r="N340" s="647">
        <f>VLOOKUP($I340,Prices!A:D,4,0)</f>
        <v>6000</v>
      </c>
      <c r="O340" s="772">
        <f t="shared" si="24"/>
        <v>7800000</v>
      </c>
      <c r="P340" s="793" t="s">
        <v>194</v>
      </c>
      <c r="Q340" s="772">
        <f>O340-6500000</f>
        <v>1300000</v>
      </c>
      <c r="R340" s="769">
        <f>Q340/VLOOKUP(H340, 'Currency Conversion'!B:C, 2, 0)</f>
        <v>1231060.606060606</v>
      </c>
      <c r="S340" s="763" t="s">
        <v>194</v>
      </c>
      <c r="T340" s="757" t="s">
        <v>325</v>
      </c>
      <c r="U340" s="756" t="s">
        <v>988</v>
      </c>
      <c r="V340" s="773" t="s">
        <v>194</v>
      </c>
      <c r="W340" s="773" t="s">
        <v>194</v>
      </c>
      <c r="X340" s="784" t="s">
        <v>194</v>
      </c>
      <c r="Y340" s="759">
        <v>0</v>
      </c>
      <c r="Z340" s="761">
        <v>0</v>
      </c>
      <c r="AA340" s="802" t="s">
        <v>194</v>
      </c>
      <c r="AB340" s="775"/>
      <c r="AC340" s="775"/>
      <c r="AD340" s="775"/>
      <c r="AE340" s="775"/>
      <c r="AF340" s="775"/>
      <c r="AG340" s="775"/>
      <c r="AH340" s="775"/>
      <c r="AI340" s="775"/>
      <c r="AJ340" s="775"/>
      <c r="AK340" s="775"/>
      <c r="AL340" s="775"/>
      <c r="AM340" s="775"/>
      <c r="AN340" s="775"/>
      <c r="AO340" s="775"/>
      <c r="AP340" s="775"/>
    </row>
    <row r="341" spans="1:42" s="141" customFormat="1" ht="48" customHeight="1">
      <c r="A341" s="775" t="s">
        <v>989</v>
      </c>
      <c r="B341" s="775" t="s">
        <v>963</v>
      </c>
      <c r="C341" s="776">
        <v>44685</v>
      </c>
      <c r="D341" s="775" t="s">
        <v>190</v>
      </c>
      <c r="E341" s="775" t="s">
        <v>199</v>
      </c>
      <c r="F341" s="773" t="s">
        <v>990</v>
      </c>
      <c r="G341" s="777">
        <v>262000000</v>
      </c>
      <c r="H341" s="757" t="s">
        <v>982</v>
      </c>
      <c r="I341" s="775" t="s">
        <v>194</v>
      </c>
      <c r="J341" s="658" t="str">
        <f>VLOOKUP($I341,Prices!A:B,2,0)</f>
        <v>.</v>
      </c>
      <c r="K341" s="790" t="s">
        <v>194</v>
      </c>
      <c r="L341" s="788" t="s">
        <v>194</v>
      </c>
      <c r="M341" s="788" t="s">
        <v>194</v>
      </c>
      <c r="N341" s="708" t="str">
        <f>VLOOKUP($I341,Prices!A:D,4,0)</f>
        <v>.</v>
      </c>
      <c r="O341" s="772" t="s">
        <v>194</v>
      </c>
      <c r="P341" s="793" t="s">
        <v>194</v>
      </c>
      <c r="Q341" s="772">
        <f>G341</f>
        <v>262000000</v>
      </c>
      <c r="R341" s="772">
        <f>Q341/VLOOKUP(H341, 'Currency Conversion'!B:C, 2, 0)</f>
        <v>660182.43209192157</v>
      </c>
      <c r="S341" s="749" t="s">
        <v>194</v>
      </c>
      <c r="T341" s="757" t="s">
        <v>298</v>
      </c>
      <c r="U341" s="756" t="s">
        <v>991</v>
      </c>
      <c r="V341" s="773" t="s">
        <v>194</v>
      </c>
      <c r="W341" s="773" t="s">
        <v>194</v>
      </c>
      <c r="X341" s="784" t="s">
        <v>194</v>
      </c>
      <c r="Y341" s="759">
        <v>0</v>
      </c>
      <c r="Z341" s="757">
        <v>0</v>
      </c>
      <c r="AA341" s="799" t="s">
        <v>194</v>
      </c>
      <c r="AB341" s="775"/>
      <c r="AC341" s="775"/>
      <c r="AD341" s="775"/>
      <c r="AE341" s="775"/>
      <c r="AF341" s="775"/>
      <c r="AG341" s="775"/>
      <c r="AH341" s="775"/>
      <c r="AI341" s="775"/>
      <c r="AJ341" s="775"/>
      <c r="AK341" s="775"/>
      <c r="AL341" s="775"/>
      <c r="AM341" s="775"/>
      <c r="AN341" s="775"/>
      <c r="AO341" s="775"/>
      <c r="AP341" s="775"/>
    </row>
    <row r="342" spans="1:42" s="141" customFormat="1" ht="27.75" customHeight="1">
      <c r="A342" s="868" t="s">
        <v>992</v>
      </c>
      <c r="B342" s="868" t="s">
        <v>963</v>
      </c>
      <c r="C342" s="874">
        <v>44686</v>
      </c>
      <c r="D342" s="868" t="s">
        <v>190</v>
      </c>
      <c r="E342" s="868" t="s">
        <v>199</v>
      </c>
      <c r="F342" s="890" t="s">
        <v>993</v>
      </c>
      <c r="G342" s="875">
        <v>37000000</v>
      </c>
      <c r="H342" s="870" t="s">
        <v>278</v>
      </c>
      <c r="I342" s="775" t="s">
        <v>994</v>
      </c>
      <c r="J342" s="658">
        <f>VLOOKUP($I342,Prices!A:B,2,0)</f>
        <v>0</v>
      </c>
      <c r="K342" s="790">
        <f>VLOOKUP(I342,Prices!A:C,3,0)</f>
        <v>0</v>
      </c>
      <c r="L342" s="788">
        <v>1</v>
      </c>
      <c r="M342" s="788" t="s">
        <v>194</v>
      </c>
      <c r="N342" s="647">
        <f>VLOOKUP($I342,Prices!A:D,4,0)</f>
        <v>125000000</v>
      </c>
      <c r="O342" s="772">
        <f t="shared" si="24"/>
        <v>125000000</v>
      </c>
      <c r="P342" s="793" t="s">
        <v>194</v>
      </c>
      <c r="Q342" s="869">
        <f>G342</f>
        <v>37000000</v>
      </c>
      <c r="R342" s="869">
        <f>Q342/VLOOKUP(H342, 'Currency Conversion'!B:C, 2, 0)</f>
        <v>37000000</v>
      </c>
      <c r="S342" s="886" t="s">
        <v>194</v>
      </c>
      <c r="T342" s="870" t="s">
        <v>195</v>
      </c>
      <c r="U342" s="854" t="s">
        <v>312</v>
      </c>
      <c r="V342" s="890" t="s">
        <v>194</v>
      </c>
      <c r="W342" s="890" t="s">
        <v>194</v>
      </c>
      <c r="X342" s="880" t="s">
        <v>194</v>
      </c>
      <c r="Y342" s="878">
        <v>0</v>
      </c>
      <c r="Z342" s="870">
        <v>0</v>
      </c>
      <c r="AA342" s="907" t="s">
        <v>194</v>
      </c>
      <c r="AB342" s="775"/>
      <c r="AC342" s="775"/>
      <c r="AD342" s="775"/>
      <c r="AE342" s="775"/>
      <c r="AF342" s="775"/>
      <c r="AG342" s="775"/>
      <c r="AH342" s="775"/>
      <c r="AI342" s="775"/>
      <c r="AJ342" s="775"/>
      <c r="AK342" s="775"/>
      <c r="AL342" s="775"/>
      <c r="AM342" s="775"/>
      <c r="AN342" s="775"/>
      <c r="AO342" s="775"/>
      <c r="AP342" s="775"/>
    </row>
    <row r="343" spans="1:42" s="141" customFormat="1" ht="24" customHeight="1">
      <c r="A343" s="868"/>
      <c r="B343" s="868"/>
      <c r="C343" s="874"/>
      <c r="D343" s="868"/>
      <c r="E343" s="868"/>
      <c r="F343" s="890"/>
      <c r="G343" s="875"/>
      <c r="H343" s="870"/>
      <c r="I343" s="775" t="s">
        <v>995</v>
      </c>
      <c r="J343" s="658">
        <f>VLOOKUP($I343,Prices!A:B,2,0)</f>
        <v>0</v>
      </c>
      <c r="K343" s="790">
        <f>VLOOKUP(I343,Prices!A:C,3,0)</f>
        <v>0</v>
      </c>
      <c r="L343" s="788">
        <v>1</v>
      </c>
      <c r="M343" s="788" t="s">
        <v>194</v>
      </c>
      <c r="N343" s="708" t="str">
        <f>VLOOKUP($I343,Prices!A:D,4,0)</f>
        <v>.</v>
      </c>
      <c r="O343" s="772" t="s">
        <v>194</v>
      </c>
      <c r="P343" s="793" t="s">
        <v>194</v>
      </c>
      <c r="Q343" s="869"/>
      <c r="R343" s="869"/>
      <c r="S343" s="886"/>
      <c r="T343" s="870"/>
      <c r="U343" s="854"/>
      <c r="V343" s="890"/>
      <c r="W343" s="890"/>
      <c r="X343" s="880"/>
      <c r="Y343" s="878"/>
      <c r="Z343" s="870"/>
      <c r="AA343" s="907"/>
      <c r="AB343" s="775"/>
      <c r="AC343" s="775"/>
      <c r="AD343" s="775"/>
      <c r="AE343" s="775"/>
      <c r="AF343" s="775"/>
      <c r="AG343" s="775"/>
      <c r="AH343" s="775"/>
      <c r="AI343" s="775"/>
      <c r="AJ343" s="775"/>
      <c r="AK343" s="775"/>
      <c r="AL343" s="775"/>
      <c r="AM343" s="775"/>
      <c r="AN343" s="775"/>
      <c r="AO343" s="775"/>
      <c r="AP343" s="775"/>
    </row>
    <row r="344" spans="1:42" s="141" customFormat="1" ht="20.25" customHeight="1">
      <c r="A344" s="868"/>
      <c r="B344" s="868"/>
      <c r="C344" s="874"/>
      <c r="D344" s="868"/>
      <c r="E344" s="868"/>
      <c r="F344" s="890"/>
      <c r="G344" s="875"/>
      <c r="H344" s="870"/>
      <c r="I344" s="775" t="s">
        <v>996</v>
      </c>
      <c r="J344" s="658">
        <f>VLOOKUP($I344,Prices!A:B,2,0)</f>
        <v>0</v>
      </c>
      <c r="K344" s="790">
        <f>VLOOKUP(I344,Prices!A:C,3,0)</f>
        <v>0</v>
      </c>
      <c r="L344" s="788" t="s">
        <v>224</v>
      </c>
      <c r="M344" s="788" t="s">
        <v>194</v>
      </c>
      <c r="N344" s="647">
        <f>VLOOKUP($I344,Prices!A:D,4,0)</f>
        <v>76400</v>
      </c>
      <c r="O344" s="772" t="s">
        <v>194</v>
      </c>
      <c r="P344" s="793" t="s">
        <v>194</v>
      </c>
      <c r="Q344" s="869"/>
      <c r="R344" s="869"/>
      <c r="S344" s="886"/>
      <c r="T344" s="870"/>
      <c r="U344" s="854"/>
      <c r="V344" s="890"/>
      <c r="W344" s="890"/>
      <c r="X344" s="880"/>
      <c r="Y344" s="878"/>
      <c r="Z344" s="870"/>
      <c r="AA344" s="907"/>
      <c r="AB344" s="775"/>
      <c r="AC344" s="775"/>
      <c r="AD344" s="775"/>
      <c r="AE344" s="775"/>
      <c r="AF344" s="775"/>
      <c r="AG344" s="775"/>
      <c r="AH344" s="775"/>
      <c r="AI344" s="775"/>
      <c r="AJ344" s="775"/>
      <c r="AK344" s="775"/>
      <c r="AL344" s="775"/>
      <c r="AM344" s="775"/>
      <c r="AN344" s="775"/>
      <c r="AO344" s="775"/>
      <c r="AP344" s="775"/>
    </row>
    <row r="345" spans="1:42" s="141" customFormat="1" ht="111.75" customHeight="1">
      <c r="A345" s="750" t="s">
        <v>997</v>
      </c>
      <c r="B345" s="750" t="s">
        <v>998</v>
      </c>
      <c r="C345" s="750" t="s">
        <v>999</v>
      </c>
      <c r="D345" s="750" t="s">
        <v>190</v>
      </c>
      <c r="E345" s="750" t="s">
        <v>191</v>
      </c>
      <c r="F345" s="752" t="s">
        <v>1000</v>
      </c>
      <c r="G345" s="793"/>
      <c r="H345" s="754" t="s">
        <v>260</v>
      </c>
      <c r="I345" s="750" t="s">
        <v>495</v>
      </c>
      <c r="J345" s="658">
        <f>VLOOKUP($I345,Prices!A:B,2,0)</f>
        <v>0</v>
      </c>
      <c r="K345" s="790">
        <f>VLOOKUP(I345,Prices!A:C,3,0)</f>
        <v>0</v>
      </c>
      <c r="L345" s="644">
        <v>187</v>
      </c>
      <c r="M345" s="644" t="s">
        <v>194</v>
      </c>
      <c r="N345" s="647">
        <f>VLOOKUP($I345,Prices!A:D,4,0)</f>
        <v>10000</v>
      </c>
      <c r="O345" s="772">
        <f t="shared" si="24"/>
        <v>1870000</v>
      </c>
      <c r="P345" s="793" t="s">
        <v>194</v>
      </c>
      <c r="Q345" s="753">
        <f>O345</f>
        <v>1870000</v>
      </c>
      <c r="R345" s="753">
        <f>Q345/VLOOKUP(H345, 'Currency Conversion'!B:C, 2, 0)</f>
        <v>1770833.3333333333</v>
      </c>
      <c r="S345" s="755" t="s">
        <v>194</v>
      </c>
      <c r="T345" s="754" t="s">
        <v>195</v>
      </c>
      <c r="U345" s="797" t="s">
        <v>1001</v>
      </c>
      <c r="V345" s="756" t="s">
        <v>1002</v>
      </c>
      <c r="W345" s="756" t="s">
        <v>1003</v>
      </c>
      <c r="X345" s="819" t="s">
        <v>1004</v>
      </c>
      <c r="Y345" s="754">
        <v>0</v>
      </c>
      <c r="Z345" s="754">
        <v>1</v>
      </c>
      <c r="AA345" s="754" t="s">
        <v>21</v>
      </c>
      <c r="AB345" s="750" t="s">
        <v>21</v>
      </c>
      <c r="AC345" s="750" t="s">
        <v>21</v>
      </c>
      <c r="AD345" s="750" t="s">
        <v>21</v>
      </c>
      <c r="AE345" s="750" t="s">
        <v>21</v>
      </c>
      <c r="AF345" s="750" t="s">
        <v>21</v>
      </c>
      <c r="AG345" s="750" t="s">
        <v>21</v>
      </c>
      <c r="AH345" s="750" t="s">
        <v>21</v>
      </c>
      <c r="AI345" s="750" t="s">
        <v>21</v>
      </c>
      <c r="AJ345" s="750" t="s">
        <v>21</v>
      </c>
      <c r="AK345" s="750" t="s">
        <v>21</v>
      </c>
      <c r="AL345" s="750" t="s">
        <v>21</v>
      </c>
      <c r="AM345" s="750" t="s">
        <v>21</v>
      </c>
      <c r="AN345" s="750" t="s">
        <v>21</v>
      </c>
      <c r="AO345" s="750" t="s">
        <v>21</v>
      </c>
      <c r="AP345" s="775"/>
    </row>
    <row r="346" spans="1:42" s="141" customFormat="1" ht="48" customHeight="1">
      <c r="A346" s="775" t="s">
        <v>1005</v>
      </c>
      <c r="B346" s="775" t="s">
        <v>1006</v>
      </c>
      <c r="C346" s="780">
        <v>44616</v>
      </c>
      <c r="D346" s="775" t="s">
        <v>190</v>
      </c>
      <c r="E346" s="775" t="s">
        <v>191</v>
      </c>
      <c r="F346" s="773" t="s">
        <v>1007</v>
      </c>
      <c r="G346" s="777">
        <v>10000000</v>
      </c>
      <c r="H346" s="757" t="s">
        <v>278</v>
      </c>
      <c r="I346" s="775" t="s">
        <v>194</v>
      </c>
      <c r="J346" s="658" t="str">
        <f>VLOOKUP($I346,Prices!A:B,2,0)</f>
        <v>.</v>
      </c>
      <c r="K346" s="790" t="s">
        <v>194</v>
      </c>
      <c r="L346" s="788" t="s">
        <v>194</v>
      </c>
      <c r="M346" s="651" t="s">
        <v>194</v>
      </c>
      <c r="N346" s="647" t="str">
        <f>VLOOKUP($I346,Prices!A:D,4,0)</f>
        <v>.</v>
      </c>
      <c r="O346" s="772" t="s">
        <v>194</v>
      </c>
      <c r="P346" s="793" t="s">
        <v>194</v>
      </c>
      <c r="Q346" s="772">
        <f>G346</f>
        <v>10000000</v>
      </c>
      <c r="R346" s="769">
        <f>Q346/VLOOKUP(H346, 'Currency Conversion'!B:C, 2, 0)</f>
        <v>10000000</v>
      </c>
      <c r="S346" s="763" t="s">
        <v>194</v>
      </c>
      <c r="T346" s="757" t="s">
        <v>298</v>
      </c>
      <c r="U346" s="756" t="s">
        <v>1008</v>
      </c>
      <c r="V346" s="773" t="s">
        <v>194</v>
      </c>
      <c r="W346" s="773" t="s">
        <v>194</v>
      </c>
      <c r="X346" s="784" t="s">
        <v>194</v>
      </c>
      <c r="Y346" s="759">
        <v>0</v>
      </c>
      <c r="Z346" s="761">
        <v>0</v>
      </c>
      <c r="AA346" s="802" t="s">
        <v>194</v>
      </c>
      <c r="AB346" s="775"/>
      <c r="AC346" s="775"/>
      <c r="AD346" s="775"/>
      <c r="AE346" s="775"/>
      <c r="AF346" s="775"/>
      <c r="AG346" s="775"/>
      <c r="AH346" s="775"/>
      <c r="AI346" s="775"/>
      <c r="AJ346" s="775"/>
      <c r="AK346" s="775"/>
      <c r="AL346" s="775"/>
      <c r="AM346" s="775"/>
      <c r="AN346" s="775"/>
      <c r="AO346" s="775"/>
      <c r="AP346" s="775"/>
    </row>
    <row r="347" spans="1:42" ht="86.25" customHeight="1">
      <c r="A347" s="767" t="s">
        <v>1009</v>
      </c>
      <c r="B347" s="767" t="s">
        <v>1006</v>
      </c>
      <c r="C347" s="768">
        <v>44627</v>
      </c>
      <c r="D347" s="767" t="s">
        <v>190</v>
      </c>
      <c r="E347" s="767" t="s">
        <v>199</v>
      </c>
      <c r="F347" s="787" t="s">
        <v>1010</v>
      </c>
      <c r="G347" s="770" t="s">
        <v>259</v>
      </c>
      <c r="H347" s="761" t="s">
        <v>194</v>
      </c>
      <c r="I347" s="767" t="s">
        <v>1011</v>
      </c>
      <c r="J347" s="658">
        <f>VLOOKUP($I347,Prices!A:B,2,0)</f>
        <v>0</v>
      </c>
      <c r="K347" s="790">
        <f>VLOOKUP(I347,Prices!A:C,3,0)</f>
        <v>0</v>
      </c>
      <c r="L347" s="651">
        <v>4000</v>
      </c>
      <c r="M347" s="651" t="s">
        <v>194</v>
      </c>
      <c r="N347" s="647" t="str">
        <f>VLOOKUP($I347,Prices!A:D,4,0)</f>
        <v>.</v>
      </c>
      <c r="O347" s="772" t="s">
        <v>194</v>
      </c>
      <c r="P347" s="793" t="s">
        <v>194</v>
      </c>
      <c r="Q347" s="769" t="s">
        <v>194</v>
      </c>
      <c r="R347" s="769" t="s">
        <v>194</v>
      </c>
      <c r="S347" s="763" t="s">
        <v>194</v>
      </c>
      <c r="T347" s="761" t="s">
        <v>240</v>
      </c>
      <c r="U347" s="756" t="s">
        <v>1012</v>
      </c>
      <c r="V347" s="756" t="s">
        <v>1013</v>
      </c>
      <c r="W347" s="787" t="s">
        <v>194</v>
      </c>
      <c r="X347" s="771" t="s">
        <v>194</v>
      </c>
      <c r="Y347" s="759">
        <v>0</v>
      </c>
      <c r="Z347" s="761">
        <v>0</v>
      </c>
      <c r="AA347" s="802" t="s">
        <v>194</v>
      </c>
      <c r="AB347" s="767"/>
      <c r="AC347" s="767"/>
      <c r="AD347" s="767"/>
      <c r="AE347" s="767"/>
      <c r="AF347" s="767"/>
      <c r="AG347" s="767"/>
      <c r="AH347" s="767"/>
      <c r="AI347" s="767"/>
      <c r="AJ347" s="767"/>
      <c r="AK347" s="767"/>
      <c r="AL347" s="767"/>
      <c r="AM347" s="767"/>
      <c r="AN347" s="767"/>
      <c r="AO347" s="767"/>
      <c r="AP347" s="767"/>
    </row>
    <row r="348" spans="1:42" ht="20.100000000000001" customHeight="1">
      <c r="A348" s="879" t="s">
        <v>1014</v>
      </c>
      <c r="B348" s="879" t="s">
        <v>1006</v>
      </c>
      <c r="C348" s="906">
        <v>44631</v>
      </c>
      <c r="D348" s="879" t="s">
        <v>190</v>
      </c>
      <c r="E348" s="879" t="s">
        <v>199</v>
      </c>
      <c r="F348" s="884" t="s">
        <v>1015</v>
      </c>
      <c r="G348" s="916" t="s">
        <v>259</v>
      </c>
      <c r="H348" s="888" t="s">
        <v>260</v>
      </c>
      <c r="I348" s="767" t="s">
        <v>1016</v>
      </c>
      <c r="J348" s="658">
        <f>VLOOKUP($I348,Prices!A:B,2,0)</f>
        <v>0</v>
      </c>
      <c r="K348" s="790">
        <f>VLOOKUP(I348,Prices!A:C,3,0)</f>
        <v>0</v>
      </c>
      <c r="L348" s="651">
        <v>10000</v>
      </c>
      <c r="M348" s="651" t="s">
        <v>194</v>
      </c>
      <c r="N348" s="708">
        <f>VLOOKUP($I348,Prices!A:D,4,0)</f>
        <v>10</v>
      </c>
      <c r="O348" s="772">
        <f t="shared" si="24"/>
        <v>100000</v>
      </c>
      <c r="P348" s="793" t="s">
        <v>194</v>
      </c>
      <c r="Q348" s="877">
        <f>SUM(O348:O350)</f>
        <v>122832</v>
      </c>
      <c r="R348" s="877">
        <f>Q348/VLOOKUP(H348,'Currency Conversion'!B:C,2,0)</f>
        <v>116318.18181818181</v>
      </c>
      <c r="S348" s="891" t="s">
        <v>194</v>
      </c>
      <c r="T348" s="888" t="s">
        <v>240</v>
      </c>
      <c r="U348" s="854" t="s">
        <v>1012</v>
      </c>
      <c r="V348" s="854" t="s">
        <v>1013</v>
      </c>
      <c r="W348" s="884" t="s">
        <v>194</v>
      </c>
      <c r="X348" s="896" t="s">
        <v>194</v>
      </c>
      <c r="Y348" s="878">
        <v>0</v>
      </c>
      <c r="Z348" s="888">
        <v>0</v>
      </c>
      <c r="AA348" s="893" t="s">
        <v>194</v>
      </c>
      <c r="AB348" s="767"/>
      <c r="AC348" s="767"/>
      <c r="AD348" s="767"/>
      <c r="AE348" s="767"/>
      <c r="AF348" s="767"/>
      <c r="AG348" s="767"/>
      <c r="AH348" s="767"/>
      <c r="AI348" s="767"/>
      <c r="AJ348" s="767"/>
      <c r="AK348" s="767"/>
      <c r="AL348" s="767"/>
      <c r="AM348" s="767"/>
      <c r="AN348" s="767"/>
      <c r="AO348" s="767"/>
      <c r="AP348" s="767"/>
    </row>
    <row r="349" spans="1:42" ht="20.100000000000001" customHeight="1">
      <c r="A349" s="879"/>
      <c r="B349" s="879"/>
      <c r="C349" s="906"/>
      <c r="D349" s="879"/>
      <c r="E349" s="879"/>
      <c r="F349" s="884"/>
      <c r="G349" s="916"/>
      <c r="H349" s="888"/>
      <c r="I349" s="767" t="s">
        <v>265</v>
      </c>
      <c r="J349" s="658">
        <f>VLOOKUP($I349,Prices!A:B,2,0)</f>
        <v>0</v>
      </c>
      <c r="K349" s="790">
        <f>VLOOKUP(I349,Prices!A:C,3,0)</f>
        <v>0</v>
      </c>
      <c r="L349" s="651">
        <v>50000</v>
      </c>
      <c r="M349" s="651" t="s">
        <v>194</v>
      </c>
      <c r="N349" s="647">
        <f>VLOOKUP($I349,Prices!A:D,4,0)</f>
        <v>0.25</v>
      </c>
      <c r="O349" s="772">
        <f t="shared" si="24"/>
        <v>12500</v>
      </c>
      <c r="P349" s="793" t="s">
        <v>194</v>
      </c>
      <c r="Q349" s="877"/>
      <c r="R349" s="877"/>
      <c r="S349" s="891"/>
      <c r="T349" s="888"/>
      <c r="U349" s="854"/>
      <c r="V349" s="854"/>
      <c r="W349" s="884"/>
      <c r="X349" s="896"/>
      <c r="Y349" s="878"/>
      <c r="Z349" s="888"/>
      <c r="AA349" s="893"/>
      <c r="AB349" s="767"/>
      <c r="AC349" s="767"/>
      <c r="AD349" s="767"/>
      <c r="AE349" s="767"/>
      <c r="AF349" s="767"/>
      <c r="AG349" s="767"/>
      <c r="AH349" s="767"/>
      <c r="AI349" s="767"/>
      <c r="AJ349" s="767"/>
      <c r="AK349" s="767"/>
      <c r="AL349" s="767"/>
      <c r="AM349" s="767"/>
      <c r="AN349" s="767"/>
      <c r="AO349" s="767"/>
      <c r="AP349" s="767"/>
    </row>
    <row r="350" spans="1:42" ht="18" customHeight="1">
      <c r="A350" s="879"/>
      <c r="B350" s="879"/>
      <c r="C350" s="906"/>
      <c r="D350" s="879"/>
      <c r="E350" s="879"/>
      <c r="F350" s="884"/>
      <c r="G350" s="916"/>
      <c r="H350" s="888"/>
      <c r="I350" s="767" t="s">
        <v>263</v>
      </c>
      <c r="J350" s="658">
        <f>VLOOKUP($I350,Prices!A:B,2,0)</f>
        <v>0</v>
      </c>
      <c r="K350" s="790">
        <f>VLOOKUP(I350,Prices!A:C,3,0)</f>
        <v>0</v>
      </c>
      <c r="L350" s="651">
        <v>2583</v>
      </c>
      <c r="M350" s="651" t="s">
        <v>194</v>
      </c>
      <c r="N350" s="708">
        <f>VLOOKUP($I350,Prices!A:D,4,0)</f>
        <v>4</v>
      </c>
      <c r="O350" s="772">
        <f t="shared" si="24"/>
        <v>10332</v>
      </c>
      <c r="P350" s="793" t="s">
        <v>194</v>
      </c>
      <c r="Q350" s="877"/>
      <c r="R350" s="877"/>
      <c r="S350" s="891"/>
      <c r="T350" s="888"/>
      <c r="U350" s="854"/>
      <c r="V350" s="854"/>
      <c r="W350" s="884"/>
      <c r="X350" s="896"/>
      <c r="Y350" s="878"/>
      <c r="Z350" s="888"/>
      <c r="AA350" s="893"/>
      <c r="AB350" s="767"/>
      <c r="AC350" s="767"/>
      <c r="AD350" s="767"/>
      <c r="AE350" s="767"/>
      <c r="AF350" s="767"/>
      <c r="AG350" s="767"/>
      <c r="AH350" s="767"/>
      <c r="AI350" s="767"/>
      <c r="AJ350" s="767"/>
      <c r="AK350" s="767"/>
      <c r="AL350" s="767"/>
      <c r="AM350" s="767"/>
      <c r="AN350" s="767"/>
      <c r="AO350" s="767"/>
      <c r="AP350" s="767"/>
    </row>
    <row r="351" spans="1:42" s="141" customFormat="1" ht="47.25">
      <c r="A351" s="775" t="s">
        <v>1017</v>
      </c>
      <c r="B351" s="775" t="s">
        <v>1006</v>
      </c>
      <c r="C351" s="780" t="s">
        <v>1018</v>
      </c>
      <c r="D351" s="775" t="s">
        <v>190</v>
      </c>
      <c r="E351" s="775" t="s">
        <v>199</v>
      </c>
      <c r="F351" s="773" t="s">
        <v>1019</v>
      </c>
      <c r="G351" s="777" t="s">
        <v>201</v>
      </c>
      <c r="H351" s="757" t="s">
        <v>260</v>
      </c>
      <c r="I351" s="775" t="s">
        <v>272</v>
      </c>
      <c r="J351" s="658">
        <f>VLOOKUP($I351,Prices!A:B,2,0)</f>
        <v>0</v>
      </c>
      <c r="K351" s="790">
        <f>VLOOKUP(I351,Prices!A:C,3,0)</f>
        <v>0</v>
      </c>
      <c r="L351" s="788">
        <v>9</v>
      </c>
      <c r="M351" s="651" t="s">
        <v>194</v>
      </c>
      <c r="N351" s="647">
        <f>VLOOKUP($I351,Prices!A:D,4,0)</f>
        <v>220000</v>
      </c>
      <c r="O351" s="772">
        <f t="shared" si="24"/>
        <v>1980000</v>
      </c>
      <c r="P351" s="793" t="s">
        <v>194</v>
      </c>
      <c r="Q351" s="772">
        <f>O351</f>
        <v>1980000</v>
      </c>
      <c r="R351" s="769">
        <f>Q351/VLOOKUP(H351,'Currency Conversion'!B:C,2,0)</f>
        <v>1875000</v>
      </c>
      <c r="S351" s="763" t="s">
        <v>194</v>
      </c>
      <c r="T351" s="757" t="s">
        <v>240</v>
      </c>
      <c r="U351" s="756" t="s">
        <v>1020</v>
      </c>
      <c r="V351" s="773" t="s">
        <v>194</v>
      </c>
      <c r="W351" s="773" t="s">
        <v>194</v>
      </c>
      <c r="X351" s="784" t="s">
        <v>194</v>
      </c>
      <c r="Y351" s="759">
        <v>0</v>
      </c>
      <c r="Z351" s="761">
        <v>0</v>
      </c>
      <c r="AA351" s="802" t="s">
        <v>194</v>
      </c>
      <c r="AB351" s="775"/>
      <c r="AC351" s="775"/>
      <c r="AD351" s="775"/>
      <c r="AE351" s="775"/>
      <c r="AF351" s="775"/>
      <c r="AG351" s="775"/>
      <c r="AH351" s="775"/>
      <c r="AI351" s="775"/>
      <c r="AJ351" s="775"/>
      <c r="AK351" s="775"/>
      <c r="AL351" s="775"/>
      <c r="AM351" s="775"/>
      <c r="AN351" s="775"/>
      <c r="AO351" s="775"/>
      <c r="AP351" s="775"/>
    </row>
    <row r="352" spans="1:42" s="141" customFormat="1" ht="48" customHeight="1">
      <c r="A352" s="775" t="s">
        <v>1021</v>
      </c>
      <c r="B352" s="775" t="s">
        <v>1006</v>
      </c>
      <c r="C352" s="780">
        <v>44646</v>
      </c>
      <c r="D352" s="775" t="s">
        <v>190</v>
      </c>
      <c r="E352" s="775" t="s">
        <v>199</v>
      </c>
      <c r="F352" s="773" t="s">
        <v>1022</v>
      </c>
      <c r="G352" s="777" t="s">
        <v>259</v>
      </c>
      <c r="H352" s="757" t="s">
        <v>194</v>
      </c>
      <c r="I352" s="775" t="s">
        <v>194</v>
      </c>
      <c r="J352" s="658" t="str">
        <f>VLOOKUP($I352,Prices!A:B,2,0)</f>
        <v>.</v>
      </c>
      <c r="K352" s="790" t="s">
        <v>194</v>
      </c>
      <c r="L352" s="788" t="s">
        <v>194</v>
      </c>
      <c r="M352" s="651" t="s">
        <v>194</v>
      </c>
      <c r="N352" s="708" t="str">
        <f>VLOOKUP($I352,Prices!A:D,4,0)</f>
        <v>.</v>
      </c>
      <c r="O352" s="772" t="s">
        <v>194</v>
      </c>
      <c r="P352" s="793" t="s">
        <v>194</v>
      </c>
      <c r="Q352" s="772" t="s">
        <v>194</v>
      </c>
      <c r="R352" s="769" t="s">
        <v>194</v>
      </c>
      <c r="S352" s="763" t="s">
        <v>194</v>
      </c>
      <c r="T352" s="757" t="s">
        <v>195</v>
      </c>
      <c r="U352" s="756" t="s">
        <v>1020</v>
      </c>
      <c r="V352" s="773" t="s">
        <v>194</v>
      </c>
      <c r="W352" s="773" t="s">
        <v>194</v>
      </c>
      <c r="X352" s="784" t="s">
        <v>194</v>
      </c>
      <c r="Y352" s="759">
        <v>0</v>
      </c>
      <c r="Z352" s="761">
        <v>0</v>
      </c>
      <c r="AA352" s="802" t="s">
        <v>194</v>
      </c>
      <c r="AB352" s="775"/>
      <c r="AC352" s="775"/>
      <c r="AD352" s="775"/>
      <c r="AE352" s="775"/>
      <c r="AF352" s="775"/>
      <c r="AG352" s="775"/>
      <c r="AH352" s="775"/>
      <c r="AI352" s="775"/>
      <c r="AJ352" s="775"/>
      <c r="AK352" s="775"/>
      <c r="AL352" s="775"/>
      <c r="AM352" s="775"/>
      <c r="AN352" s="775"/>
      <c r="AO352" s="775"/>
      <c r="AP352" s="775"/>
    </row>
    <row r="353" spans="1:42" s="141" customFormat="1" ht="38.1" customHeight="1">
      <c r="A353" s="775" t="s">
        <v>1023</v>
      </c>
      <c r="B353" s="775" t="s">
        <v>1006</v>
      </c>
      <c r="C353" s="780">
        <v>44648</v>
      </c>
      <c r="D353" s="775" t="s">
        <v>190</v>
      </c>
      <c r="E353" s="775" t="s">
        <v>199</v>
      </c>
      <c r="F353" s="773" t="s">
        <v>1024</v>
      </c>
      <c r="G353" s="777" t="s">
        <v>201</v>
      </c>
      <c r="H353" s="757" t="s">
        <v>194</v>
      </c>
      <c r="I353" s="775" t="s">
        <v>194</v>
      </c>
      <c r="J353" s="658" t="str">
        <f>VLOOKUP($I353,Prices!A:B,2,0)</f>
        <v>.</v>
      </c>
      <c r="K353" s="790" t="s">
        <v>194</v>
      </c>
      <c r="L353" s="788" t="s">
        <v>194</v>
      </c>
      <c r="M353" s="651" t="s">
        <v>194</v>
      </c>
      <c r="N353" s="647" t="str">
        <f>VLOOKUP($I353,Prices!A:D,4,0)</f>
        <v>.</v>
      </c>
      <c r="O353" s="772" t="s">
        <v>194</v>
      </c>
      <c r="P353" s="793" t="s">
        <v>194</v>
      </c>
      <c r="Q353" s="772" t="s">
        <v>194</v>
      </c>
      <c r="R353" s="769" t="s">
        <v>194</v>
      </c>
      <c r="S353" s="763" t="s">
        <v>194</v>
      </c>
      <c r="T353" s="757" t="s">
        <v>195</v>
      </c>
      <c r="U353" s="756" t="s">
        <v>1020</v>
      </c>
      <c r="V353" s="773" t="s">
        <v>194</v>
      </c>
      <c r="W353" s="773" t="s">
        <v>194</v>
      </c>
      <c r="X353" s="784" t="s">
        <v>194</v>
      </c>
      <c r="Y353" s="759">
        <v>0</v>
      </c>
      <c r="Z353" s="761">
        <v>0</v>
      </c>
      <c r="AA353" s="802" t="s">
        <v>194</v>
      </c>
      <c r="AB353" s="775"/>
      <c r="AC353" s="775"/>
      <c r="AD353" s="775"/>
      <c r="AE353" s="775"/>
      <c r="AF353" s="775"/>
      <c r="AG353" s="775"/>
      <c r="AH353" s="775"/>
      <c r="AI353" s="775"/>
      <c r="AJ353" s="775"/>
      <c r="AK353" s="775"/>
      <c r="AL353" s="775"/>
      <c r="AM353" s="775"/>
      <c r="AN353" s="775"/>
      <c r="AO353" s="775"/>
      <c r="AP353" s="775"/>
    </row>
    <row r="354" spans="1:42" s="141" customFormat="1" ht="38.1" customHeight="1">
      <c r="A354" s="775" t="s">
        <v>1025</v>
      </c>
      <c r="B354" s="775" t="s">
        <v>1006</v>
      </c>
      <c r="C354" s="780">
        <v>44660</v>
      </c>
      <c r="D354" s="775" t="s">
        <v>190</v>
      </c>
      <c r="E354" s="775" t="s">
        <v>191</v>
      </c>
      <c r="F354" s="773" t="s">
        <v>1026</v>
      </c>
      <c r="G354" s="777">
        <v>53000000</v>
      </c>
      <c r="H354" s="757" t="s">
        <v>278</v>
      </c>
      <c r="I354" s="775" t="s">
        <v>194</v>
      </c>
      <c r="J354" s="658" t="str">
        <f>VLOOKUP($I354,Prices!A:B,2,0)</f>
        <v>.</v>
      </c>
      <c r="K354" s="790" t="s">
        <v>194</v>
      </c>
      <c r="L354" s="788" t="s">
        <v>194</v>
      </c>
      <c r="M354" s="651" t="s">
        <v>194</v>
      </c>
      <c r="N354" s="708" t="str">
        <f>VLOOKUP($I354,Prices!A:D,4,0)</f>
        <v>.</v>
      </c>
      <c r="O354" s="772" t="s">
        <v>194</v>
      </c>
      <c r="P354" s="793" t="s">
        <v>194</v>
      </c>
      <c r="Q354" s="772">
        <f>G354</f>
        <v>53000000</v>
      </c>
      <c r="R354" s="769">
        <f>Q354/VLOOKUP(H354,'Currency Conversion'!B:C,2,0)</f>
        <v>53000000</v>
      </c>
      <c r="S354" s="763" t="s">
        <v>194</v>
      </c>
      <c r="T354" s="757" t="s">
        <v>325</v>
      </c>
      <c r="U354" s="756" t="s">
        <v>309</v>
      </c>
      <c r="V354" s="773" t="s">
        <v>194</v>
      </c>
      <c r="W354" s="773" t="s">
        <v>194</v>
      </c>
      <c r="X354" s="784" t="s">
        <v>194</v>
      </c>
      <c r="Y354" s="759">
        <v>0</v>
      </c>
      <c r="Z354" s="761">
        <v>0</v>
      </c>
      <c r="AA354" s="802" t="s">
        <v>194</v>
      </c>
      <c r="AB354" s="775"/>
      <c r="AC354" s="775"/>
      <c r="AD354" s="775"/>
      <c r="AE354" s="775"/>
      <c r="AF354" s="775"/>
      <c r="AG354" s="775"/>
      <c r="AH354" s="775"/>
      <c r="AI354" s="775"/>
      <c r="AJ354" s="775"/>
      <c r="AK354" s="775"/>
      <c r="AL354" s="775"/>
      <c r="AM354" s="775"/>
      <c r="AN354" s="775"/>
      <c r="AO354" s="775"/>
      <c r="AP354" s="775"/>
    </row>
    <row r="355" spans="1:42" s="141" customFormat="1" ht="38.1" customHeight="1">
      <c r="A355" s="775" t="s">
        <v>1027</v>
      </c>
      <c r="B355" s="775" t="s">
        <v>1006</v>
      </c>
      <c r="C355" s="780">
        <v>44701</v>
      </c>
      <c r="D355" s="775" t="s">
        <v>190</v>
      </c>
      <c r="E355" s="775" t="s">
        <v>191</v>
      </c>
      <c r="F355" s="656" t="s">
        <v>1028</v>
      </c>
      <c r="G355" s="777">
        <v>500000</v>
      </c>
      <c r="H355" s="757" t="s">
        <v>278</v>
      </c>
      <c r="I355" s="775" t="s">
        <v>194</v>
      </c>
      <c r="J355" s="658" t="str">
        <f>VLOOKUP($I355,Prices!A:B,2,0)</f>
        <v>.</v>
      </c>
      <c r="K355" s="790" t="s">
        <v>194</v>
      </c>
      <c r="L355" s="788" t="s">
        <v>194</v>
      </c>
      <c r="M355" s="788" t="s">
        <v>194</v>
      </c>
      <c r="N355" s="647" t="str">
        <f>VLOOKUP($I355,Prices!A:D,4,0)</f>
        <v>.</v>
      </c>
      <c r="O355" s="772" t="s">
        <v>194</v>
      </c>
      <c r="P355" s="793" t="s">
        <v>194</v>
      </c>
      <c r="Q355" s="772">
        <f>G355</f>
        <v>500000</v>
      </c>
      <c r="R355" s="772">
        <f>Q355/VLOOKUP(H355,'Currency Conversion'!B:C,2,0)</f>
        <v>500000</v>
      </c>
      <c r="S355" s="749" t="s">
        <v>194</v>
      </c>
      <c r="T355" s="757" t="s">
        <v>298</v>
      </c>
      <c r="U355" s="756" t="s">
        <v>1029</v>
      </c>
      <c r="V355" s="773" t="s">
        <v>194</v>
      </c>
      <c r="W355" s="773" t="s">
        <v>194</v>
      </c>
      <c r="X355" s="784" t="s">
        <v>194</v>
      </c>
      <c r="Y355" s="759">
        <v>0</v>
      </c>
      <c r="Z355" s="757">
        <v>0</v>
      </c>
      <c r="AA355" s="781" t="s">
        <v>194</v>
      </c>
      <c r="AB355" s="775"/>
      <c r="AC355" s="775"/>
      <c r="AD355" s="775"/>
      <c r="AE355" s="775"/>
      <c r="AF355" s="775"/>
      <c r="AG355" s="775"/>
      <c r="AH355" s="775"/>
      <c r="AI355" s="775"/>
      <c r="AJ355" s="775"/>
      <c r="AK355" s="775"/>
      <c r="AL355" s="775"/>
      <c r="AM355" s="775"/>
      <c r="AN355" s="775"/>
      <c r="AO355" s="775"/>
      <c r="AP355" s="775"/>
    </row>
    <row r="356" spans="1:42" s="141" customFormat="1" ht="38.1" customHeight="1">
      <c r="A356" s="750" t="s">
        <v>1030</v>
      </c>
      <c r="B356" s="750" t="s">
        <v>1006</v>
      </c>
      <c r="C356" s="750" t="s">
        <v>1031</v>
      </c>
      <c r="D356" s="750" t="s">
        <v>190</v>
      </c>
      <c r="E356" s="750" t="s">
        <v>199</v>
      </c>
      <c r="F356" s="752" t="s">
        <v>1032</v>
      </c>
      <c r="G356" s="793">
        <v>2197000</v>
      </c>
      <c r="H356" s="754" t="s">
        <v>278</v>
      </c>
      <c r="I356" s="750" t="s">
        <v>272</v>
      </c>
      <c r="J356" s="658">
        <f>VLOOKUP($I356,Prices!A:B,2,0)</f>
        <v>0</v>
      </c>
      <c r="K356" s="790">
        <f>VLOOKUP(I356,Prices!A:C,3,0)</f>
        <v>0</v>
      </c>
      <c r="L356" s="644">
        <v>10</v>
      </c>
      <c r="M356" s="644" t="s">
        <v>194</v>
      </c>
      <c r="N356" s="643">
        <f>VLOOKUP($I356,Prices!A:D,4,0)</f>
        <v>220000</v>
      </c>
      <c r="O356" s="753">
        <f>$L356*$N356</f>
        <v>2200000</v>
      </c>
      <c r="P356" s="793" t="s">
        <v>194</v>
      </c>
      <c r="Q356" s="753">
        <f>G356</f>
        <v>2197000</v>
      </c>
      <c r="R356" s="772">
        <f>Q356/VLOOKUP(H356,'Currency Conversion'!B:C,2,0)</f>
        <v>2197000</v>
      </c>
      <c r="S356" s="755" t="s">
        <v>194</v>
      </c>
      <c r="T356" s="754" t="s">
        <v>195</v>
      </c>
      <c r="U356" s="756" t="s">
        <v>1033</v>
      </c>
      <c r="V356" s="756" t="s">
        <v>1034</v>
      </c>
      <c r="W356" s="752" t="s">
        <v>194</v>
      </c>
      <c r="X356" s="814" t="s">
        <v>194</v>
      </c>
      <c r="Y356" s="754">
        <v>0</v>
      </c>
      <c r="Z356" s="754">
        <v>1</v>
      </c>
      <c r="AA356" s="754" t="s">
        <v>194</v>
      </c>
      <c r="AB356" s="614" t="s">
        <v>21</v>
      </c>
      <c r="AC356" s="614" t="s">
        <v>21</v>
      </c>
      <c r="AD356" s="614" t="s">
        <v>21</v>
      </c>
      <c r="AE356" s="614" t="s">
        <v>21</v>
      </c>
      <c r="AF356" s="614" t="s">
        <v>21</v>
      </c>
      <c r="AG356" s="614" t="s">
        <v>21</v>
      </c>
      <c r="AH356" s="614" t="s">
        <v>21</v>
      </c>
      <c r="AI356" s="614" t="s">
        <v>21</v>
      </c>
      <c r="AJ356" s="614" t="s">
        <v>21</v>
      </c>
      <c r="AK356" s="614" t="s">
        <v>21</v>
      </c>
      <c r="AL356" s="614" t="s">
        <v>21</v>
      </c>
      <c r="AM356" s="614" t="s">
        <v>21</v>
      </c>
      <c r="AN356" s="614" t="s">
        <v>21</v>
      </c>
      <c r="AO356" s="614" t="s">
        <v>21</v>
      </c>
      <c r="AP356" s="775"/>
    </row>
    <row r="357" spans="1:42" s="141" customFormat="1" ht="100.5" customHeight="1">
      <c r="A357" s="775" t="s">
        <v>1035</v>
      </c>
      <c r="B357" s="775" t="s">
        <v>1036</v>
      </c>
      <c r="C357" s="780">
        <v>44616</v>
      </c>
      <c r="D357" s="775" t="s">
        <v>190</v>
      </c>
      <c r="E357" s="775" t="s">
        <v>276</v>
      </c>
      <c r="F357" s="773" t="s">
        <v>1037</v>
      </c>
      <c r="G357" s="777">
        <v>1000000</v>
      </c>
      <c r="H357" s="757" t="s">
        <v>278</v>
      </c>
      <c r="I357" s="775" t="s">
        <v>194</v>
      </c>
      <c r="J357" s="658" t="str">
        <f>VLOOKUP($I357,Prices!A:B,2,0)</f>
        <v>.</v>
      </c>
      <c r="K357" s="790" t="s">
        <v>194</v>
      </c>
      <c r="L357" s="788" t="s">
        <v>194</v>
      </c>
      <c r="M357" s="788" t="s">
        <v>194</v>
      </c>
      <c r="N357" s="707" t="str">
        <f>VLOOKUP($I357,Prices!A:D,4,0)</f>
        <v>.</v>
      </c>
      <c r="O357" s="753" t="s">
        <v>194</v>
      </c>
      <c r="P357" s="793" t="s">
        <v>194</v>
      </c>
      <c r="Q357" s="772">
        <f>G357</f>
        <v>1000000</v>
      </c>
      <c r="R357" s="772">
        <f>Q357/VLOOKUP(H357,'Currency Conversion'!B:C,2,0)</f>
        <v>1000000</v>
      </c>
      <c r="S357" s="749" t="s">
        <v>194</v>
      </c>
      <c r="T357" s="757" t="s">
        <v>240</v>
      </c>
      <c r="U357" s="756" t="s">
        <v>1038</v>
      </c>
      <c r="V357" s="773" t="s">
        <v>194</v>
      </c>
      <c r="W357" s="773" t="s">
        <v>194</v>
      </c>
      <c r="X357" s="784" t="s">
        <v>194</v>
      </c>
      <c r="Y357" s="759">
        <v>1</v>
      </c>
      <c r="Z357" s="757">
        <v>0</v>
      </c>
      <c r="AA357" s="781" t="s">
        <v>194</v>
      </c>
      <c r="AB357" s="775"/>
      <c r="AC357" s="775"/>
      <c r="AD357" s="775"/>
      <c r="AE357" s="775"/>
      <c r="AF357" s="775"/>
      <c r="AG357" s="775"/>
      <c r="AH357" s="775"/>
      <c r="AI357" s="775"/>
      <c r="AJ357" s="775"/>
      <c r="AK357" s="775"/>
      <c r="AL357" s="775"/>
      <c r="AM357" s="775"/>
      <c r="AN357" s="775"/>
      <c r="AO357" s="775"/>
      <c r="AP357" s="775"/>
    </row>
    <row r="358" spans="1:42" ht="82.5" customHeight="1">
      <c r="A358" s="766" t="s">
        <v>1039</v>
      </c>
      <c r="B358" s="766" t="s">
        <v>1036</v>
      </c>
      <c r="C358" s="776">
        <v>44627</v>
      </c>
      <c r="D358" s="766" t="s">
        <v>190</v>
      </c>
      <c r="E358" s="766" t="s">
        <v>199</v>
      </c>
      <c r="F358" s="787" t="s">
        <v>1040</v>
      </c>
      <c r="G358" s="807" t="s">
        <v>259</v>
      </c>
      <c r="H358" s="759" t="s">
        <v>260</v>
      </c>
      <c r="I358" s="766" t="s">
        <v>987</v>
      </c>
      <c r="J358" s="658">
        <f>VLOOKUP($I358,Prices!A:B,2,0)</f>
        <v>0</v>
      </c>
      <c r="K358" s="790">
        <f>VLOOKUP(I358,Prices!A:C,3,0)</f>
        <v>0</v>
      </c>
      <c r="L358" s="651">
        <v>20</v>
      </c>
      <c r="M358" s="665" t="s">
        <v>194</v>
      </c>
      <c r="N358" s="647">
        <f>VLOOKUP($I358,Prices!A:D,4,0)</f>
        <v>6000</v>
      </c>
      <c r="O358" s="753">
        <f t="shared" ref="O358:O364" si="25">$L358*$N358</f>
        <v>120000</v>
      </c>
      <c r="P358" s="793" t="s">
        <v>194</v>
      </c>
      <c r="Q358" s="778">
        <f>O358</f>
        <v>120000</v>
      </c>
      <c r="R358" s="778">
        <f>Q358/VLOOKUP(H358, 'Currency Conversion'!B:C, 2, 0)</f>
        <v>113636.36363636363</v>
      </c>
      <c r="S358" s="790" t="s">
        <v>194</v>
      </c>
      <c r="T358" s="759" t="s">
        <v>195</v>
      </c>
      <c r="U358" s="756" t="s">
        <v>1041</v>
      </c>
      <c r="V358" s="765" t="s">
        <v>194</v>
      </c>
      <c r="W358" s="765" t="s">
        <v>194</v>
      </c>
      <c r="X358" s="811" t="s">
        <v>194</v>
      </c>
      <c r="Y358" s="759">
        <v>0</v>
      </c>
      <c r="Z358" s="759">
        <v>0</v>
      </c>
      <c r="AA358" s="813" t="s">
        <v>194</v>
      </c>
      <c r="AB358" s="767"/>
      <c r="AC358" s="767"/>
      <c r="AD358" s="767"/>
      <c r="AE358" s="767"/>
      <c r="AF358" s="767"/>
      <c r="AG358" s="767"/>
      <c r="AH358" s="767"/>
      <c r="AI358" s="767"/>
      <c r="AJ358" s="767"/>
      <c r="AK358" s="767"/>
      <c r="AL358" s="767"/>
      <c r="AM358" s="767"/>
      <c r="AN358" s="767"/>
      <c r="AO358" s="767"/>
      <c r="AP358" s="767"/>
    </row>
    <row r="359" spans="1:42" s="141" customFormat="1" ht="19.5" customHeight="1">
      <c r="A359" s="873" t="s">
        <v>1042</v>
      </c>
      <c r="B359" s="873" t="s">
        <v>1036</v>
      </c>
      <c r="C359" s="874">
        <v>44634</v>
      </c>
      <c r="D359" s="873" t="s">
        <v>190</v>
      </c>
      <c r="E359" s="873" t="s">
        <v>199</v>
      </c>
      <c r="F359" s="890" t="s">
        <v>1043</v>
      </c>
      <c r="G359" s="889" t="s">
        <v>259</v>
      </c>
      <c r="H359" s="878" t="s">
        <v>260</v>
      </c>
      <c r="I359" s="766" t="s">
        <v>711</v>
      </c>
      <c r="J359" s="658">
        <f>VLOOKUP($I359,Prices!A:B,2,0)</f>
        <v>0</v>
      </c>
      <c r="K359" s="790">
        <f>VLOOKUP(I359,Prices!A:C,3,0)</f>
        <v>0</v>
      </c>
      <c r="L359" s="788">
        <v>200</v>
      </c>
      <c r="M359" s="665" t="s">
        <v>194</v>
      </c>
      <c r="N359" s="707">
        <f>VLOOKUP($I359,Prices!A:D,4,0)</f>
        <v>25</v>
      </c>
      <c r="O359" s="753">
        <f t="shared" si="25"/>
        <v>5000</v>
      </c>
      <c r="P359" s="793" t="s">
        <v>194</v>
      </c>
      <c r="Q359" s="887">
        <f>SUM(O359:O363)</f>
        <v>5354985</v>
      </c>
      <c r="R359" s="887">
        <f>Q359/VLOOKUP(H359, 'Currency Conversion'!B:C, 2, 0)</f>
        <v>5071008.5227272725</v>
      </c>
      <c r="S359" s="865" t="s">
        <v>194</v>
      </c>
      <c r="T359" s="878" t="s">
        <v>195</v>
      </c>
      <c r="U359" s="854" t="s">
        <v>1038</v>
      </c>
      <c r="V359" s="882" t="s">
        <v>194</v>
      </c>
      <c r="W359" s="882" t="s">
        <v>194</v>
      </c>
      <c r="X359" s="900" t="s">
        <v>194</v>
      </c>
      <c r="Y359" s="878">
        <v>0</v>
      </c>
      <c r="Z359" s="878">
        <v>0</v>
      </c>
      <c r="AA359" s="907" t="s">
        <v>194</v>
      </c>
      <c r="AB359" s="775"/>
      <c r="AC359" s="775"/>
      <c r="AD359" s="775"/>
      <c r="AE359" s="775"/>
      <c r="AF359" s="775"/>
      <c r="AG359" s="775"/>
      <c r="AH359" s="775"/>
      <c r="AI359" s="775"/>
      <c r="AJ359" s="775"/>
      <c r="AK359" s="775"/>
      <c r="AL359" s="775"/>
      <c r="AM359" s="775"/>
      <c r="AN359" s="775"/>
      <c r="AO359" s="775"/>
      <c r="AP359" s="775"/>
    </row>
    <row r="360" spans="1:42" s="141" customFormat="1" ht="21" customHeight="1">
      <c r="A360" s="873"/>
      <c r="B360" s="873"/>
      <c r="C360" s="874"/>
      <c r="D360" s="873"/>
      <c r="E360" s="873"/>
      <c r="F360" s="890"/>
      <c r="G360" s="889"/>
      <c r="H360" s="878"/>
      <c r="I360" s="766" t="s">
        <v>1044</v>
      </c>
      <c r="J360" s="658">
        <f>VLOOKUP($I360,Prices!A:B,2,0)</f>
        <v>0</v>
      </c>
      <c r="K360" s="790">
        <f>VLOOKUP(I360,Prices!A:C,3,0)</f>
        <v>0</v>
      </c>
      <c r="L360" s="788">
        <v>1000</v>
      </c>
      <c r="M360" s="665" t="s">
        <v>194</v>
      </c>
      <c r="N360" s="647">
        <f>VLOOKUP($I360,Prices!A:D,4,0)</f>
        <v>200</v>
      </c>
      <c r="O360" s="753">
        <f t="shared" si="25"/>
        <v>200000</v>
      </c>
      <c r="P360" s="793" t="s">
        <v>194</v>
      </c>
      <c r="Q360" s="887"/>
      <c r="R360" s="887"/>
      <c r="S360" s="865"/>
      <c r="T360" s="878"/>
      <c r="U360" s="854"/>
      <c r="V360" s="882"/>
      <c r="W360" s="882"/>
      <c r="X360" s="900"/>
      <c r="Y360" s="878"/>
      <c r="Z360" s="878"/>
      <c r="AA360" s="907"/>
      <c r="AB360" s="775"/>
      <c r="AC360" s="775"/>
      <c r="AD360" s="775"/>
      <c r="AE360" s="775"/>
      <c r="AF360" s="775"/>
      <c r="AG360" s="775"/>
      <c r="AH360" s="775"/>
      <c r="AI360" s="775"/>
      <c r="AJ360" s="775"/>
      <c r="AK360" s="775"/>
      <c r="AL360" s="775"/>
      <c r="AM360" s="775"/>
      <c r="AN360" s="775"/>
      <c r="AO360" s="775"/>
      <c r="AP360" s="775"/>
    </row>
    <row r="361" spans="1:42" s="141" customFormat="1" ht="27" customHeight="1">
      <c r="A361" s="873"/>
      <c r="B361" s="873"/>
      <c r="C361" s="874"/>
      <c r="D361" s="873"/>
      <c r="E361" s="873"/>
      <c r="F361" s="890"/>
      <c r="G361" s="889"/>
      <c r="H361" s="878"/>
      <c r="I361" s="766" t="s">
        <v>268</v>
      </c>
      <c r="J361" s="658">
        <f>VLOOKUP($I361,Prices!A:B,2,0)</f>
        <v>0</v>
      </c>
      <c r="K361" s="790">
        <f>VLOOKUP(I361,Prices!A:C,3,0)</f>
        <v>0</v>
      </c>
      <c r="L361" s="788">
        <v>1000</v>
      </c>
      <c r="M361" s="665" t="s">
        <v>194</v>
      </c>
      <c r="N361" s="707">
        <f>VLOOKUP($I361,Prices!A:D,4,0)</f>
        <v>75</v>
      </c>
      <c r="O361" s="753">
        <f t="shared" si="25"/>
        <v>75000</v>
      </c>
      <c r="P361" s="793" t="s">
        <v>194</v>
      </c>
      <c r="Q361" s="887"/>
      <c r="R361" s="887"/>
      <c r="S361" s="865"/>
      <c r="T361" s="878"/>
      <c r="U361" s="854"/>
      <c r="V361" s="882"/>
      <c r="W361" s="882"/>
      <c r="X361" s="900"/>
      <c r="Y361" s="878"/>
      <c r="Z361" s="878"/>
      <c r="AA361" s="907"/>
      <c r="AB361" s="775"/>
      <c r="AC361" s="775"/>
      <c r="AD361" s="775"/>
      <c r="AE361" s="775"/>
      <c r="AF361" s="775"/>
      <c r="AG361" s="775"/>
      <c r="AH361" s="775"/>
      <c r="AI361" s="775"/>
      <c r="AJ361" s="775"/>
      <c r="AK361" s="775"/>
      <c r="AL361" s="775"/>
      <c r="AM361" s="775"/>
      <c r="AN361" s="775"/>
      <c r="AO361" s="775"/>
      <c r="AP361" s="775"/>
    </row>
    <row r="362" spans="1:42" s="141" customFormat="1" ht="23.25" customHeight="1">
      <c r="A362" s="873"/>
      <c r="B362" s="873"/>
      <c r="C362" s="874"/>
      <c r="D362" s="873"/>
      <c r="E362" s="873"/>
      <c r="F362" s="890"/>
      <c r="G362" s="889"/>
      <c r="H362" s="878"/>
      <c r="I362" s="766" t="s">
        <v>272</v>
      </c>
      <c r="J362" s="658">
        <f>VLOOKUP($I362,Prices!A:B,2,0)</f>
        <v>0</v>
      </c>
      <c r="K362" s="790">
        <f>VLOOKUP(I362,Prices!A:C,3,0)</f>
        <v>0</v>
      </c>
      <c r="L362" s="788">
        <v>23</v>
      </c>
      <c r="M362" s="665" t="s">
        <v>194</v>
      </c>
      <c r="N362" s="647">
        <f>VLOOKUP($I362,Prices!A:D,4,0)</f>
        <v>220000</v>
      </c>
      <c r="O362" s="753">
        <f t="shared" si="25"/>
        <v>5060000</v>
      </c>
      <c r="P362" s="793" t="s">
        <v>194</v>
      </c>
      <c r="Q362" s="887"/>
      <c r="R362" s="887"/>
      <c r="S362" s="865"/>
      <c r="T362" s="878"/>
      <c r="U362" s="854"/>
      <c r="V362" s="882"/>
      <c r="W362" s="882"/>
      <c r="X362" s="900"/>
      <c r="Y362" s="878"/>
      <c r="Z362" s="878"/>
      <c r="AA362" s="907"/>
      <c r="AB362" s="775"/>
      <c r="AC362" s="775"/>
      <c r="AD362" s="775"/>
      <c r="AE362" s="775"/>
      <c r="AF362" s="775"/>
      <c r="AG362" s="775"/>
      <c r="AH362" s="775"/>
      <c r="AI362" s="775"/>
      <c r="AJ362" s="775"/>
      <c r="AK362" s="775"/>
      <c r="AL362" s="775"/>
      <c r="AM362" s="775"/>
      <c r="AN362" s="775"/>
      <c r="AO362" s="775"/>
      <c r="AP362" s="775"/>
    </row>
    <row r="363" spans="1:42" s="141" customFormat="1" ht="23.25" customHeight="1">
      <c r="A363" s="873"/>
      <c r="B363" s="873"/>
      <c r="C363" s="874"/>
      <c r="D363" s="873"/>
      <c r="E363" s="873"/>
      <c r="F363" s="890"/>
      <c r="G363" s="889"/>
      <c r="H363" s="878"/>
      <c r="I363" s="766" t="s">
        <v>709</v>
      </c>
      <c r="J363" s="658">
        <f>VLOOKUP($I363,Prices!A:B,2,0)</f>
        <v>0</v>
      </c>
      <c r="K363" s="790">
        <f>VLOOKUP(I363,Prices!A:C,3,0)</f>
        <v>0</v>
      </c>
      <c r="L363" s="788">
        <v>3</v>
      </c>
      <c r="M363" s="665" t="s">
        <v>194</v>
      </c>
      <c r="N363" s="707">
        <f>VLOOKUP($I363,Prices!A:D,4,0)</f>
        <v>4995</v>
      </c>
      <c r="O363" s="753">
        <f t="shared" si="25"/>
        <v>14985</v>
      </c>
      <c r="P363" s="793" t="s">
        <v>194</v>
      </c>
      <c r="Q363" s="887"/>
      <c r="R363" s="887"/>
      <c r="S363" s="865"/>
      <c r="T363" s="878"/>
      <c r="U363" s="854"/>
      <c r="V363" s="882"/>
      <c r="W363" s="882"/>
      <c r="X363" s="900"/>
      <c r="Y363" s="878"/>
      <c r="Z363" s="878"/>
      <c r="AA363" s="907"/>
      <c r="AB363" s="775"/>
      <c r="AC363" s="775"/>
      <c r="AD363" s="775"/>
      <c r="AE363" s="775"/>
      <c r="AF363" s="775"/>
      <c r="AG363" s="775"/>
      <c r="AH363" s="775"/>
      <c r="AI363" s="775"/>
      <c r="AJ363" s="775"/>
      <c r="AK363" s="775"/>
      <c r="AL363" s="775"/>
      <c r="AM363" s="775"/>
      <c r="AN363" s="775"/>
      <c r="AO363" s="775"/>
      <c r="AP363" s="775"/>
    </row>
    <row r="364" spans="1:42" s="141" customFormat="1" ht="147" customHeight="1">
      <c r="A364" s="766" t="s">
        <v>1045</v>
      </c>
      <c r="B364" s="766" t="s">
        <v>1036</v>
      </c>
      <c r="C364" s="776">
        <v>44670</v>
      </c>
      <c r="D364" s="766" t="s">
        <v>190</v>
      </c>
      <c r="E364" s="766" t="s">
        <v>199</v>
      </c>
      <c r="F364" s="773" t="s">
        <v>1046</v>
      </c>
      <c r="G364" s="807" t="s">
        <v>259</v>
      </c>
      <c r="H364" s="759" t="s">
        <v>260</v>
      </c>
      <c r="I364" s="766" t="s">
        <v>1047</v>
      </c>
      <c r="J364" s="658">
        <f>VLOOKUP($I364,Prices!A:B,2,0)</f>
        <v>0</v>
      </c>
      <c r="K364" s="790">
        <f>VLOOKUP(I364,Prices!A:C,3,0)</f>
        <v>0</v>
      </c>
      <c r="L364" s="788">
        <v>45</v>
      </c>
      <c r="M364" s="665" t="s">
        <v>194</v>
      </c>
      <c r="N364" s="647">
        <f>VLOOKUP($I364,Prices!A:D,4,0)</f>
        <v>200000</v>
      </c>
      <c r="O364" s="753">
        <f t="shared" si="25"/>
        <v>9000000</v>
      </c>
      <c r="P364" s="793" t="s">
        <v>194</v>
      </c>
      <c r="Q364" s="778">
        <f>O364</f>
        <v>9000000</v>
      </c>
      <c r="R364" s="778">
        <f>Q364/VLOOKUP(H364, 'Currency Conversion'!B:C, 2, 0)</f>
        <v>8522727.2727272715</v>
      </c>
      <c r="S364" s="790" t="s">
        <v>194</v>
      </c>
      <c r="T364" s="759" t="s">
        <v>240</v>
      </c>
      <c r="U364" s="756" t="s">
        <v>1038</v>
      </c>
      <c r="V364" s="756" t="s">
        <v>1048</v>
      </c>
      <c r="W364" s="765" t="s">
        <v>194</v>
      </c>
      <c r="X364" s="811" t="s">
        <v>194</v>
      </c>
      <c r="Y364" s="759">
        <v>0</v>
      </c>
      <c r="Z364" s="759">
        <v>0</v>
      </c>
      <c r="AA364" s="781" t="s">
        <v>194</v>
      </c>
      <c r="AB364" s="775"/>
      <c r="AC364" s="775"/>
      <c r="AD364" s="775"/>
      <c r="AE364" s="775"/>
      <c r="AF364" s="775"/>
      <c r="AG364" s="775"/>
      <c r="AH364" s="775"/>
      <c r="AI364" s="775"/>
      <c r="AJ364" s="775"/>
      <c r="AK364" s="775"/>
      <c r="AL364" s="775"/>
      <c r="AM364" s="775"/>
      <c r="AN364" s="775"/>
      <c r="AO364" s="775"/>
      <c r="AP364" s="775"/>
    </row>
    <row r="365" spans="1:42" s="141" customFormat="1" ht="101.25" customHeight="1">
      <c r="A365" s="766" t="s">
        <v>1049</v>
      </c>
      <c r="B365" s="766" t="s">
        <v>1036</v>
      </c>
      <c r="C365" s="776">
        <v>44671</v>
      </c>
      <c r="D365" s="766" t="s">
        <v>190</v>
      </c>
      <c r="E365" s="766" t="s">
        <v>276</v>
      </c>
      <c r="F365" s="773" t="s">
        <v>1050</v>
      </c>
      <c r="G365" s="807">
        <v>16000000</v>
      </c>
      <c r="H365" s="759" t="s">
        <v>278</v>
      </c>
      <c r="I365" s="766" t="s">
        <v>194</v>
      </c>
      <c r="J365" s="658" t="str">
        <f>VLOOKUP($I365,Prices!A:B,2,0)</f>
        <v>.</v>
      </c>
      <c r="K365" s="790" t="s">
        <v>194</v>
      </c>
      <c r="L365" s="788" t="s">
        <v>194</v>
      </c>
      <c r="M365" s="665" t="s">
        <v>194</v>
      </c>
      <c r="N365" s="708" t="str">
        <f>VLOOKUP($I365,Prices!A:D,4,0)</f>
        <v>.</v>
      </c>
      <c r="O365" s="753" t="s">
        <v>194</v>
      </c>
      <c r="P365" s="793" t="s">
        <v>194</v>
      </c>
      <c r="Q365" s="778">
        <f>G365</f>
        <v>16000000</v>
      </c>
      <c r="R365" s="778">
        <f>Q365/VLOOKUP(H365, 'Currency Conversion'!B:C, 2, 0)</f>
        <v>16000000</v>
      </c>
      <c r="S365" s="790" t="s">
        <v>194</v>
      </c>
      <c r="T365" s="759" t="s">
        <v>325</v>
      </c>
      <c r="U365" s="756" t="s">
        <v>1051</v>
      </c>
      <c r="V365" s="765" t="s">
        <v>194</v>
      </c>
      <c r="W365" s="765" t="s">
        <v>194</v>
      </c>
      <c r="X365" s="811" t="s">
        <v>194</v>
      </c>
      <c r="Y365" s="759">
        <v>0</v>
      </c>
      <c r="Z365" s="759">
        <v>0</v>
      </c>
      <c r="AA365" s="781" t="s">
        <v>194</v>
      </c>
      <c r="AB365" s="775"/>
      <c r="AC365" s="775"/>
      <c r="AD365" s="775"/>
      <c r="AE365" s="775"/>
      <c r="AF365" s="775"/>
      <c r="AG365" s="775"/>
      <c r="AH365" s="775"/>
      <c r="AI365" s="775"/>
      <c r="AJ365" s="775"/>
      <c r="AK365" s="775"/>
      <c r="AL365" s="775"/>
      <c r="AM365" s="775"/>
      <c r="AN365" s="775"/>
      <c r="AO365" s="775"/>
      <c r="AP365" s="775"/>
    </row>
    <row r="366" spans="1:42" ht="94.5" customHeight="1">
      <c r="A366" s="767" t="s">
        <v>1052</v>
      </c>
      <c r="B366" s="766" t="s">
        <v>1036</v>
      </c>
      <c r="C366" s="768">
        <v>44620</v>
      </c>
      <c r="D366" s="767" t="s">
        <v>212</v>
      </c>
      <c r="E366" s="766" t="s">
        <v>213</v>
      </c>
      <c r="F366" s="787" t="s">
        <v>1053</v>
      </c>
      <c r="G366" s="769">
        <v>150000000</v>
      </c>
      <c r="H366" s="761" t="s">
        <v>278</v>
      </c>
      <c r="I366" s="767" t="s">
        <v>194</v>
      </c>
      <c r="J366" s="658" t="str">
        <f>VLOOKUP($I366,Prices!A:B,2,0)</f>
        <v>.</v>
      </c>
      <c r="K366" s="790" t="s">
        <v>194</v>
      </c>
      <c r="L366" s="651" t="s">
        <v>194</v>
      </c>
      <c r="N366" s="647" t="str">
        <f>VLOOKUP($I366,Prices!A:D,4,0)</f>
        <v>.</v>
      </c>
      <c r="O366" s="753" t="s">
        <v>194</v>
      </c>
      <c r="P366" s="793" t="s">
        <v>194</v>
      </c>
      <c r="Q366" s="769">
        <f>G366</f>
        <v>150000000</v>
      </c>
      <c r="R366" s="769">
        <f>Q366/VLOOKUP(H366, 'Currency Conversion'!B:C, 2, 0)</f>
        <v>150000000</v>
      </c>
      <c r="S366" s="763">
        <f>R366</f>
        <v>150000000</v>
      </c>
      <c r="T366" s="761" t="s">
        <v>298</v>
      </c>
      <c r="U366" s="756" t="s">
        <v>1054</v>
      </c>
      <c r="V366" s="756" t="s">
        <v>1055</v>
      </c>
      <c r="W366" s="756" t="s">
        <v>1056</v>
      </c>
      <c r="X366" s="532" t="s">
        <v>194</v>
      </c>
      <c r="Y366" s="759">
        <v>0</v>
      </c>
      <c r="Z366" s="761">
        <v>0</v>
      </c>
      <c r="AA366" s="762" t="s">
        <v>1057</v>
      </c>
      <c r="AB366" s="767"/>
      <c r="AC366" s="767"/>
      <c r="AD366" s="767"/>
      <c r="AE366" s="767"/>
      <c r="AF366" s="767"/>
      <c r="AG366" s="767"/>
      <c r="AH366" s="767"/>
      <c r="AI366" s="767"/>
      <c r="AJ366" s="767"/>
      <c r="AK366" s="767"/>
      <c r="AL366" s="767"/>
      <c r="AM366" s="767"/>
      <c r="AN366" s="767"/>
      <c r="AO366" s="767"/>
      <c r="AP366" s="767"/>
    </row>
    <row r="367" spans="1:42" s="141" customFormat="1" ht="78" customHeight="1">
      <c r="A367" s="775" t="s">
        <v>1058</v>
      </c>
      <c r="B367" s="766" t="s">
        <v>1036</v>
      </c>
      <c r="C367" s="780">
        <v>44673</v>
      </c>
      <c r="D367" s="775" t="s">
        <v>212</v>
      </c>
      <c r="E367" s="766" t="s">
        <v>320</v>
      </c>
      <c r="F367" s="773" t="s">
        <v>1059</v>
      </c>
      <c r="G367" s="772" t="s">
        <v>259</v>
      </c>
      <c r="H367" s="757" t="s">
        <v>194</v>
      </c>
      <c r="I367" s="775" t="s">
        <v>194</v>
      </c>
      <c r="J367" s="658" t="str">
        <f>VLOOKUP($I367,Prices!A:B,2,0)</f>
        <v>.</v>
      </c>
      <c r="K367" s="790" t="s">
        <v>194</v>
      </c>
      <c r="L367" s="788" t="s">
        <v>194</v>
      </c>
      <c r="M367" s="788"/>
      <c r="N367" s="708" t="str">
        <f>VLOOKUP($I367,Prices!A:D,4,0)</f>
        <v>.</v>
      </c>
      <c r="O367" s="753" t="s">
        <v>194</v>
      </c>
      <c r="P367" s="793" t="s">
        <v>194</v>
      </c>
      <c r="Q367" s="772" t="s">
        <v>194</v>
      </c>
      <c r="R367" s="772" t="s">
        <v>194</v>
      </c>
      <c r="S367" s="749" t="s">
        <v>194</v>
      </c>
      <c r="T367" s="757" t="s">
        <v>240</v>
      </c>
      <c r="U367" s="756" t="s">
        <v>1060</v>
      </c>
      <c r="V367" s="756" t="s">
        <v>1061</v>
      </c>
      <c r="W367" s="765" t="s">
        <v>194</v>
      </c>
      <c r="X367" s="532" t="s">
        <v>194</v>
      </c>
      <c r="Y367" s="759">
        <v>0</v>
      </c>
      <c r="Z367" s="757">
        <v>0</v>
      </c>
      <c r="AA367" s="757" t="s">
        <v>194</v>
      </c>
      <c r="AB367" s="775"/>
      <c r="AC367" s="775"/>
      <c r="AD367" s="775"/>
      <c r="AE367" s="775"/>
      <c r="AF367" s="775"/>
      <c r="AG367" s="775"/>
      <c r="AH367" s="775"/>
      <c r="AI367" s="775"/>
      <c r="AJ367" s="775"/>
      <c r="AK367" s="775"/>
      <c r="AL367" s="775"/>
      <c r="AM367" s="775"/>
      <c r="AN367" s="775"/>
      <c r="AO367" s="775"/>
      <c r="AP367" s="775"/>
    </row>
    <row r="368" spans="1:42" s="141" customFormat="1" ht="22.5" customHeight="1">
      <c r="A368" s="868" t="s">
        <v>1062</v>
      </c>
      <c r="B368" s="873" t="s">
        <v>1036</v>
      </c>
      <c r="C368" s="867">
        <v>44691</v>
      </c>
      <c r="D368" s="868" t="s">
        <v>212</v>
      </c>
      <c r="E368" s="873" t="s">
        <v>320</v>
      </c>
      <c r="F368" s="890" t="s">
        <v>1063</v>
      </c>
      <c r="G368" s="869" t="s">
        <v>201</v>
      </c>
      <c r="H368" s="870" t="s">
        <v>194</v>
      </c>
      <c r="I368" s="775" t="s">
        <v>1064</v>
      </c>
      <c r="J368" s="658">
        <f>VLOOKUP($I368,Prices!A:B,2,0)</f>
        <v>4</v>
      </c>
      <c r="K368" s="790">
        <f>VLOOKUP(I368,Prices!A:C,3,0)</f>
        <v>0</v>
      </c>
      <c r="L368" s="788" t="s">
        <v>224</v>
      </c>
      <c r="M368" s="788" t="s">
        <v>224</v>
      </c>
      <c r="N368" s="647">
        <f>VLOOKUP($I368,Prices!A:D,4,0)</f>
        <v>962280</v>
      </c>
      <c r="O368" s="753" t="s">
        <v>194</v>
      </c>
      <c r="P368" s="793" t="s">
        <v>194</v>
      </c>
      <c r="Q368" s="869" t="s">
        <v>194</v>
      </c>
      <c r="R368" s="869" t="s">
        <v>194</v>
      </c>
      <c r="S368" s="886" t="s">
        <v>194</v>
      </c>
      <c r="T368" s="870" t="s">
        <v>240</v>
      </c>
      <c r="U368" s="854" t="s">
        <v>1065</v>
      </c>
      <c r="V368" s="854" t="s">
        <v>1066</v>
      </c>
      <c r="W368" s="854" t="s">
        <v>1067</v>
      </c>
      <c r="X368" s="923" t="s">
        <v>1068</v>
      </c>
      <c r="Y368" s="878">
        <v>0</v>
      </c>
      <c r="Z368" s="870">
        <v>0</v>
      </c>
      <c r="AA368" s="758" t="s">
        <v>1069</v>
      </c>
      <c r="AB368" s="775"/>
      <c r="AC368" s="775"/>
      <c r="AD368" s="775"/>
      <c r="AE368" s="775"/>
      <c r="AF368" s="775"/>
      <c r="AG368" s="775"/>
      <c r="AH368" s="775"/>
      <c r="AI368" s="775"/>
      <c r="AJ368" s="775"/>
      <c r="AK368" s="775"/>
      <c r="AL368" s="775"/>
      <c r="AM368" s="775"/>
      <c r="AN368" s="775"/>
      <c r="AO368" s="775"/>
      <c r="AP368" s="775"/>
    </row>
    <row r="369" spans="1:42" s="141" customFormat="1" ht="18.75" customHeight="1">
      <c r="A369" s="868"/>
      <c r="B369" s="873"/>
      <c r="C369" s="867"/>
      <c r="D369" s="868"/>
      <c r="E369" s="873"/>
      <c r="F369" s="890"/>
      <c r="G369" s="869"/>
      <c r="H369" s="870"/>
      <c r="I369" s="775" t="s">
        <v>1070</v>
      </c>
      <c r="J369" s="658">
        <f>VLOOKUP($I369,Prices!A:B,2,0)</f>
        <v>4</v>
      </c>
      <c r="K369" s="790">
        <f>VLOOKUP(I369,Prices!A:C,3,0)</f>
        <v>0</v>
      </c>
      <c r="L369" s="788" t="s">
        <v>224</v>
      </c>
      <c r="M369" s="788" t="s">
        <v>194</v>
      </c>
      <c r="N369" s="708" t="str">
        <f>VLOOKUP($I369,Prices!A:D,4,0)</f>
        <v>.</v>
      </c>
      <c r="O369" s="753" t="s">
        <v>194</v>
      </c>
      <c r="P369" s="793" t="s">
        <v>194</v>
      </c>
      <c r="Q369" s="869"/>
      <c r="R369" s="869"/>
      <c r="S369" s="886"/>
      <c r="T369" s="870"/>
      <c r="U369" s="854"/>
      <c r="V369" s="854"/>
      <c r="W369" s="854"/>
      <c r="X369" s="923"/>
      <c r="Y369" s="878"/>
      <c r="Z369" s="870"/>
      <c r="AA369" s="781" t="s">
        <v>194</v>
      </c>
      <c r="AB369" s="775"/>
      <c r="AC369" s="775"/>
      <c r="AD369" s="775"/>
      <c r="AE369" s="775"/>
      <c r="AF369" s="775"/>
      <c r="AG369" s="775"/>
      <c r="AH369" s="775"/>
      <c r="AI369" s="775"/>
      <c r="AJ369" s="775"/>
      <c r="AK369" s="775"/>
      <c r="AL369" s="775"/>
      <c r="AM369" s="775"/>
      <c r="AN369" s="775"/>
      <c r="AO369" s="775"/>
      <c r="AP369" s="775"/>
    </row>
    <row r="370" spans="1:42" s="141" customFormat="1" ht="52.5" customHeight="1">
      <c r="A370" s="868"/>
      <c r="B370" s="873"/>
      <c r="C370" s="867"/>
      <c r="D370" s="868"/>
      <c r="E370" s="873"/>
      <c r="F370" s="890"/>
      <c r="G370" s="869"/>
      <c r="H370" s="870"/>
      <c r="I370" s="775" t="s">
        <v>1071</v>
      </c>
      <c r="J370" s="658">
        <f>VLOOKUP($I370,Prices!A:B,2,0)</f>
        <v>2</v>
      </c>
      <c r="K370" s="790">
        <f>VLOOKUP(I370,Prices!A:C,3,0)</f>
        <v>0</v>
      </c>
      <c r="L370" s="788" t="s">
        <v>224</v>
      </c>
      <c r="M370" s="788" t="s">
        <v>224</v>
      </c>
      <c r="N370" s="647" t="str">
        <f>VLOOKUP($I370,Prices!A:D,4,0)</f>
        <v>.</v>
      </c>
      <c r="O370" s="753" t="s">
        <v>194</v>
      </c>
      <c r="P370" s="793" t="s">
        <v>194</v>
      </c>
      <c r="Q370" s="869"/>
      <c r="R370" s="869"/>
      <c r="S370" s="886"/>
      <c r="T370" s="870"/>
      <c r="U370" s="854"/>
      <c r="V370" s="854"/>
      <c r="W370" s="854"/>
      <c r="X370" s="923"/>
      <c r="Y370" s="878"/>
      <c r="Z370" s="870"/>
      <c r="AA370" s="757" t="s">
        <v>194</v>
      </c>
      <c r="AB370" s="775"/>
      <c r="AC370" s="775"/>
      <c r="AD370" s="775"/>
      <c r="AE370" s="775"/>
      <c r="AF370" s="775"/>
      <c r="AG370" s="775"/>
      <c r="AH370" s="775"/>
      <c r="AI370" s="775"/>
      <c r="AJ370" s="775"/>
      <c r="AK370" s="775"/>
      <c r="AL370" s="775"/>
      <c r="AM370" s="775"/>
      <c r="AN370" s="775"/>
      <c r="AO370" s="775"/>
      <c r="AP370" s="775"/>
    </row>
    <row r="371" spans="1:42" ht="27" customHeight="1">
      <c r="A371" s="767" t="s">
        <v>1072</v>
      </c>
      <c r="B371" s="767" t="s">
        <v>1036</v>
      </c>
      <c r="C371" s="768">
        <v>44619</v>
      </c>
      <c r="D371" s="767" t="s">
        <v>292</v>
      </c>
      <c r="E371" s="767" t="s">
        <v>276</v>
      </c>
      <c r="F371" s="787" t="s">
        <v>1073</v>
      </c>
      <c r="G371" s="769">
        <v>110000000</v>
      </c>
      <c r="H371" s="761" t="s">
        <v>278</v>
      </c>
      <c r="I371" s="767" t="s">
        <v>194</v>
      </c>
      <c r="J371" s="658" t="str">
        <f>VLOOKUP($I371,Prices!A:B,2,0)</f>
        <v>.</v>
      </c>
      <c r="K371" s="790" t="s">
        <v>194</v>
      </c>
      <c r="L371" s="651" t="s">
        <v>194</v>
      </c>
      <c r="M371" s="651" t="s">
        <v>194</v>
      </c>
      <c r="N371" s="708" t="str">
        <f>VLOOKUP($I371,Prices!A:D,4,0)</f>
        <v>.</v>
      </c>
      <c r="O371" s="769" t="s">
        <v>194</v>
      </c>
      <c r="P371" s="793" t="s">
        <v>194</v>
      </c>
      <c r="Q371" s="769">
        <f>G371</f>
        <v>110000000</v>
      </c>
      <c r="R371" s="769">
        <f>Q371/VLOOKUP(H371, 'Currency Conversion'!B:C, 2, 0)</f>
        <v>110000000</v>
      </c>
      <c r="S371" s="763" t="s">
        <v>194</v>
      </c>
      <c r="T371" s="761" t="s">
        <v>325</v>
      </c>
      <c r="U371" s="756" t="s">
        <v>1074</v>
      </c>
      <c r="V371" s="756" t="s">
        <v>1075</v>
      </c>
      <c r="W371" s="787" t="s">
        <v>194</v>
      </c>
      <c r="X371" s="771" t="s">
        <v>194</v>
      </c>
      <c r="Y371" s="759">
        <v>0</v>
      </c>
      <c r="Z371" s="761">
        <v>0</v>
      </c>
      <c r="AA371" s="802" t="s">
        <v>194</v>
      </c>
      <c r="AB371" s="767"/>
      <c r="AC371" s="767"/>
      <c r="AD371" s="767"/>
      <c r="AE371" s="767"/>
      <c r="AF371" s="767"/>
      <c r="AG371" s="767"/>
      <c r="AH371" s="767"/>
      <c r="AI371" s="767"/>
      <c r="AJ371" s="767"/>
      <c r="AK371" s="767"/>
      <c r="AL371" s="767"/>
      <c r="AM371" s="767"/>
      <c r="AN371" s="767"/>
      <c r="AO371" s="767"/>
      <c r="AP371" s="767"/>
    </row>
    <row r="372" spans="1:42" s="141" customFormat="1" ht="81.75" customHeight="1">
      <c r="A372" s="775" t="s">
        <v>1076</v>
      </c>
      <c r="B372" s="775" t="s">
        <v>1036</v>
      </c>
      <c r="C372" s="780">
        <v>44680</v>
      </c>
      <c r="D372" s="775" t="s">
        <v>292</v>
      </c>
      <c r="E372" s="775" t="s">
        <v>351</v>
      </c>
      <c r="F372" s="773" t="s">
        <v>1077</v>
      </c>
      <c r="G372" s="772">
        <v>200000000</v>
      </c>
      <c r="H372" s="757" t="s">
        <v>278</v>
      </c>
      <c r="I372" s="775" t="s">
        <v>194</v>
      </c>
      <c r="J372" s="658" t="str">
        <f>VLOOKUP($I372,Prices!A:B,2,0)</f>
        <v>.</v>
      </c>
      <c r="K372" s="790" t="s">
        <v>194</v>
      </c>
      <c r="L372" s="788" t="s">
        <v>194</v>
      </c>
      <c r="M372" s="788" t="s">
        <v>194</v>
      </c>
      <c r="N372" s="647" t="str">
        <f>VLOOKUP($I372,Prices!A:D,4,0)</f>
        <v>.</v>
      </c>
      <c r="O372" s="772" t="s">
        <v>194</v>
      </c>
      <c r="P372" s="793" t="s">
        <v>194</v>
      </c>
      <c r="Q372" s="772">
        <f>G372</f>
        <v>200000000</v>
      </c>
      <c r="R372" s="772">
        <f>Q372/VLOOKUP(H372, 'Currency Conversion'!B:C, 2, 0)</f>
        <v>200000000</v>
      </c>
      <c r="S372" s="749" t="s">
        <v>194</v>
      </c>
      <c r="T372" s="757" t="s">
        <v>325</v>
      </c>
      <c r="U372" s="756" t="s">
        <v>1078</v>
      </c>
      <c r="V372" s="765" t="s">
        <v>194</v>
      </c>
      <c r="W372" s="773" t="s">
        <v>194</v>
      </c>
      <c r="X372" s="784" t="s">
        <v>194</v>
      </c>
      <c r="Y372" s="759">
        <v>0</v>
      </c>
      <c r="Z372" s="757">
        <v>0</v>
      </c>
      <c r="AA372" s="749" t="s">
        <v>194</v>
      </c>
      <c r="AB372" s="775"/>
      <c r="AC372" s="775"/>
      <c r="AD372" s="775"/>
      <c r="AE372" s="775"/>
      <c r="AF372" s="775"/>
      <c r="AG372" s="775"/>
      <c r="AH372" s="775"/>
      <c r="AI372" s="775"/>
      <c r="AJ372" s="775"/>
      <c r="AK372" s="775"/>
      <c r="AL372" s="775"/>
      <c r="AM372" s="775"/>
      <c r="AN372" s="775"/>
      <c r="AO372" s="775"/>
      <c r="AP372" s="775"/>
    </row>
    <row r="373" spans="1:42" s="637" customFormat="1" ht="51" customHeight="1">
      <c r="A373" s="766" t="s">
        <v>1079</v>
      </c>
      <c r="B373" s="766" t="s">
        <v>1080</v>
      </c>
      <c r="C373" s="776">
        <v>44679</v>
      </c>
      <c r="D373" s="766" t="s">
        <v>190</v>
      </c>
      <c r="E373" s="766" t="s">
        <v>191</v>
      </c>
      <c r="F373" s="765" t="s">
        <v>1081</v>
      </c>
      <c r="G373" s="807">
        <v>2300000</v>
      </c>
      <c r="H373" s="759" t="s">
        <v>260</v>
      </c>
      <c r="I373" s="766" t="s">
        <v>194</v>
      </c>
      <c r="J373" s="658" t="str">
        <f>VLOOKUP($I373,Prices!A:B,2,0)</f>
        <v>.</v>
      </c>
      <c r="K373" s="790" t="s">
        <v>194</v>
      </c>
      <c r="L373" s="665" t="s">
        <v>194</v>
      </c>
      <c r="M373" s="665" t="s">
        <v>194</v>
      </c>
      <c r="N373" s="708" t="str">
        <f>VLOOKUP($I373,Prices!A:D,4,0)</f>
        <v>.</v>
      </c>
      <c r="O373" s="778" t="s">
        <v>194</v>
      </c>
      <c r="P373" s="793" t="s">
        <v>194</v>
      </c>
      <c r="Q373" s="778">
        <f>G373</f>
        <v>2300000</v>
      </c>
      <c r="R373" s="778">
        <f>Q373/VLOOKUP(H373, 'Currency Conversion'!B:C, 2, 0)</f>
        <v>2178030.3030303027</v>
      </c>
      <c r="S373" s="790" t="s">
        <v>194</v>
      </c>
      <c r="T373" s="759" t="s">
        <v>240</v>
      </c>
      <c r="U373" s="756" t="s">
        <v>1082</v>
      </c>
      <c r="V373" s="756" t="s">
        <v>1083</v>
      </c>
      <c r="W373" s="765" t="s">
        <v>194</v>
      </c>
      <c r="X373" s="811" t="s">
        <v>194</v>
      </c>
      <c r="Y373" s="759">
        <v>0</v>
      </c>
      <c r="Z373" s="759">
        <v>0</v>
      </c>
      <c r="AA373" s="679" t="s">
        <v>194</v>
      </c>
      <c r="AB373" s="766"/>
      <c r="AC373" s="766"/>
      <c r="AD373" s="766"/>
      <c r="AE373" s="766"/>
      <c r="AF373" s="766"/>
      <c r="AG373" s="766"/>
      <c r="AH373" s="766"/>
      <c r="AI373" s="766"/>
      <c r="AJ373" s="766"/>
      <c r="AK373" s="766"/>
      <c r="AL373" s="766"/>
      <c r="AM373" s="766"/>
      <c r="AN373" s="766"/>
      <c r="AO373" s="766"/>
      <c r="AP373" s="766"/>
    </row>
    <row r="374" spans="1:42" s="637" customFormat="1" ht="51" customHeight="1">
      <c r="A374" s="766" t="s">
        <v>1084</v>
      </c>
      <c r="B374" s="766" t="s">
        <v>1080</v>
      </c>
      <c r="C374" s="776">
        <v>44708</v>
      </c>
      <c r="D374" s="766" t="s">
        <v>190</v>
      </c>
      <c r="E374" s="766" t="s">
        <v>191</v>
      </c>
      <c r="F374" s="765" t="s">
        <v>1085</v>
      </c>
      <c r="G374" s="807">
        <v>1660000</v>
      </c>
      <c r="H374" s="759" t="s">
        <v>260</v>
      </c>
      <c r="I374" s="766" t="s">
        <v>194</v>
      </c>
      <c r="J374" s="658" t="str">
        <f>VLOOKUP($I374,Prices!A:B,2,0)</f>
        <v>.</v>
      </c>
      <c r="K374" s="790" t="s">
        <v>194</v>
      </c>
      <c r="L374" s="665" t="s">
        <v>194</v>
      </c>
      <c r="M374" s="665" t="s">
        <v>194</v>
      </c>
      <c r="N374" s="708" t="s">
        <v>194</v>
      </c>
      <c r="O374" s="778" t="s">
        <v>194</v>
      </c>
      <c r="P374" s="793" t="s">
        <v>194</v>
      </c>
      <c r="Q374" s="778">
        <f>G374</f>
        <v>1660000</v>
      </c>
      <c r="R374" s="778">
        <f>Q374/VLOOKUP(H374, 'Currency Conversion'!B:C, 2, 0)</f>
        <v>1571969.6969696968</v>
      </c>
      <c r="S374" s="790"/>
      <c r="T374" s="759" t="s">
        <v>195</v>
      </c>
      <c r="U374" s="756" t="s">
        <v>1086</v>
      </c>
      <c r="V374" s="756" t="s">
        <v>194</v>
      </c>
      <c r="W374" s="765" t="s">
        <v>194</v>
      </c>
      <c r="X374" s="811" t="s">
        <v>194</v>
      </c>
      <c r="Y374" s="759">
        <v>0</v>
      </c>
      <c r="Z374" s="759">
        <v>1</v>
      </c>
      <c r="AA374" s="679" t="s">
        <v>194</v>
      </c>
      <c r="AB374" s="766"/>
      <c r="AC374" s="766"/>
      <c r="AD374" s="766"/>
      <c r="AE374" s="766"/>
      <c r="AF374" s="766"/>
      <c r="AG374" s="766"/>
      <c r="AH374" s="766"/>
      <c r="AI374" s="766"/>
      <c r="AJ374" s="766"/>
      <c r="AK374" s="766"/>
      <c r="AL374" s="766"/>
      <c r="AM374" s="766"/>
      <c r="AN374" s="766"/>
      <c r="AO374" s="766"/>
      <c r="AP374" s="766"/>
    </row>
    <row r="375" spans="1:42" s="637" customFormat="1" ht="51" customHeight="1">
      <c r="A375" s="766" t="s">
        <v>1087</v>
      </c>
      <c r="B375" s="766" t="s">
        <v>1080</v>
      </c>
      <c r="C375" s="776">
        <v>44740</v>
      </c>
      <c r="D375" s="766" t="s">
        <v>190</v>
      </c>
      <c r="E375" s="766" t="s">
        <v>191</v>
      </c>
      <c r="F375" s="765" t="s">
        <v>1088</v>
      </c>
      <c r="G375" s="807">
        <v>100000000</v>
      </c>
      <c r="H375" s="759" t="s">
        <v>260</v>
      </c>
      <c r="I375" s="766" t="s">
        <v>194</v>
      </c>
      <c r="J375" s="658" t="str">
        <f>VLOOKUP($I375,Prices!A:B,2,0)</f>
        <v>.</v>
      </c>
      <c r="K375" s="790" t="s">
        <v>194</v>
      </c>
      <c r="L375" s="665" t="s">
        <v>194</v>
      </c>
      <c r="M375" s="665" t="s">
        <v>194</v>
      </c>
      <c r="N375" s="708" t="s">
        <v>194</v>
      </c>
      <c r="O375" s="778" t="s">
        <v>194</v>
      </c>
      <c r="P375" s="793" t="s">
        <v>194</v>
      </c>
      <c r="Q375" s="778">
        <f>G375</f>
        <v>100000000</v>
      </c>
      <c r="R375" s="778">
        <f>Q375/VLOOKUP(H375, 'Currency Conversion'!B:C, 2, 0)</f>
        <v>94696969.696969688</v>
      </c>
      <c r="S375" s="790" t="s">
        <v>194</v>
      </c>
      <c r="T375" s="759" t="s">
        <v>298</v>
      </c>
      <c r="U375" s="756" t="s">
        <v>1089</v>
      </c>
      <c r="V375" s="756" t="s">
        <v>1090</v>
      </c>
      <c r="W375" s="765" t="s">
        <v>194</v>
      </c>
      <c r="X375" s="811" t="s">
        <v>194</v>
      </c>
      <c r="Y375" s="759">
        <v>0</v>
      </c>
      <c r="Z375" s="759">
        <v>1</v>
      </c>
      <c r="AA375" s="679" t="s">
        <v>194</v>
      </c>
      <c r="AB375" s="766"/>
      <c r="AC375" s="766"/>
      <c r="AD375" s="766"/>
      <c r="AE375" s="766"/>
      <c r="AF375" s="766"/>
      <c r="AG375" s="766"/>
      <c r="AH375" s="766"/>
      <c r="AI375" s="766"/>
      <c r="AJ375" s="766"/>
      <c r="AK375" s="766"/>
      <c r="AL375" s="766"/>
      <c r="AM375" s="766"/>
      <c r="AN375" s="766"/>
      <c r="AO375" s="766"/>
      <c r="AP375" s="766"/>
    </row>
    <row r="376" spans="1:42" s="141" customFormat="1" ht="48" customHeight="1">
      <c r="A376" s="868" t="s">
        <v>1091</v>
      </c>
      <c r="B376" s="868" t="s">
        <v>1080</v>
      </c>
      <c r="C376" s="936">
        <v>44624</v>
      </c>
      <c r="D376" s="870" t="s">
        <v>212</v>
      </c>
      <c r="E376" s="870" t="s">
        <v>221</v>
      </c>
      <c r="F376" s="937" t="s">
        <v>1092</v>
      </c>
      <c r="G376" s="885" t="s">
        <v>201</v>
      </c>
      <c r="H376" s="870" t="s">
        <v>194</v>
      </c>
      <c r="I376" s="634" t="s">
        <v>348</v>
      </c>
      <c r="J376" s="658">
        <f>VLOOKUP($I376,Prices!A:B,2,0)</f>
        <v>1</v>
      </c>
      <c r="K376" s="790">
        <v>0</v>
      </c>
      <c r="L376" s="680" t="s">
        <v>224</v>
      </c>
      <c r="M376" s="680" t="s">
        <v>194</v>
      </c>
      <c r="N376" s="647">
        <f>VLOOKUP($I376,Prices!A:D,4,0)</f>
        <v>500</v>
      </c>
      <c r="O376" s="772" t="s">
        <v>194</v>
      </c>
      <c r="P376" s="793" t="s">
        <v>194</v>
      </c>
      <c r="Q376" s="886" t="s">
        <v>194</v>
      </c>
      <c r="R376" s="886" t="s">
        <v>194</v>
      </c>
      <c r="S376" s="886" t="s">
        <v>194</v>
      </c>
      <c r="T376" s="870" t="s">
        <v>298</v>
      </c>
      <c r="U376" s="897" t="s">
        <v>1093</v>
      </c>
      <c r="V376" s="897" t="s">
        <v>1094</v>
      </c>
      <c r="W376" s="897" t="s">
        <v>1095</v>
      </c>
      <c r="X376" s="917" t="s">
        <v>194</v>
      </c>
      <c r="Y376" s="878">
        <v>0</v>
      </c>
      <c r="Z376" s="888">
        <v>0</v>
      </c>
      <c r="AA376" s="899" t="s">
        <v>1096</v>
      </c>
      <c r="AB376" s="775"/>
      <c r="AC376" s="775"/>
      <c r="AD376" s="775"/>
      <c r="AE376" s="775"/>
      <c r="AF376" s="775"/>
      <c r="AG376" s="775"/>
      <c r="AH376" s="775"/>
      <c r="AI376" s="775"/>
      <c r="AJ376" s="775"/>
      <c r="AK376" s="775"/>
      <c r="AL376" s="775"/>
      <c r="AM376" s="775"/>
      <c r="AN376" s="775"/>
      <c r="AO376" s="775"/>
      <c r="AP376" s="775"/>
    </row>
    <row r="377" spans="1:42" s="717" customFormat="1" ht="48" customHeight="1">
      <c r="A377" s="868"/>
      <c r="B377" s="868"/>
      <c r="C377" s="936"/>
      <c r="D377" s="870"/>
      <c r="E377" s="870"/>
      <c r="F377" s="937"/>
      <c r="G377" s="885"/>
      <c r="H377" s="870"/>
      <c r="I377" s="775" t="s">
        <v>344</v>
      </c>
      <c r="J377" s="658">
        <f>VLOOKUP($I377,Prices!A:B,2,0)</f>
        <v>1</v>
      </c>
      <c r="K377" s="790">
        <v>0</v>
      </c>
      <c r="L377" s="680" t="s">
        <v>224</v>
      </c>
      <c r="M377" s="680" t="s">
        <v>194</v>
      </c>
      <c r="N377" s="647">
        <f>VLOOKUP($I377,Prices!A:D,4,0)</f>
        <v>1400</v>
      </c>
      <c r="O377" s="772" t="s">
        <v>194</v>
      </c>
      <c r="P377" s="793" t="s">
        <v>194</v>
      </c>
      <c r="Q377" s="886"/>
      <c r="R377" s="886"/>
      <c r="S377" s="886"/>
      <c r="T377" s="870"/>
      <c r="U377" s="897"/>
      <c r="V377" s="897"/>
      <c r="W377" s="897"/>
      <c r="X377" s="917"/>
      <c r="Y377" s="878"/>
      <c r="Z377" s="888"/>
      <c r="AA377" s="899"/>
      <c r="AB377" s="775"/>
      <c r="AC377" s="775"/>
      <c r="AD377" s="775"/>
      <c r="AE377" s="775"/>
      <c r="AF377" s="775"/>
      <c r="AG377" s="775"/>
      <c r="AH377" s="775"/>
      <c r="AI377" s="775"/>
      <c r="AJ377" s="775"/>
      <c r="AK377" s="775"/>
      <c r="AL377" s="775"/>
      <c r="AM377" s="775"/>
      <c r="AN377" s="775"/>
      <c r="AO377" s="775"/>
      <c r="AP377" s="775"/>
    </row>
    <row r="378" spans="1:42" s="717" customFormat="1" ht="48" customHeight="1">
      <c r="A378" s="868"/>
      <c r="B378" s="868"/>
      <c r="C378" s="936"/>
      <c r="D378" s="870"/>
      <c r="E378" s="870"/>
      <c r="F378" s="937"/>
      <c r="G378" s="885"/>
      <c r="H378" s="870"/>
      <c r="I378" s="775" t="s">
        <v>267</v>
      </c>
      <c r="J378" s="658">
        <f>VLOOKUP($I378,Prices!A:B,2,0)</f>
        <v>0</v>
      </c>
      <c r="K378" s="790">
        <v>0</v>
      </c>
      <c r="L378" s="680" t="s">
        <v>224</v>
      </c>
      <c r="M378" s="680" t="s">
        <v>194</v>
      </c>
      <c r="N378" s="647" t="str">
        <f>VLOOKUP($I378,Prices!A:D,4,0)</f>
        <v>.</v>
      </c>
      <c r="O378" s="772" t="s">
        <v>194</v>
      </c>
      <c r="P378" s="793" t="s">
        <v>194</v>
      </c>
      <c r="Q378" s="886"/>
      <c r="R378" s="886"/>
      <c r="S378" s="886"/>
      <c r="T378" s="870"/>
      <c r="U378" s="897"/>
      <c r="V378" s="897"/>
      <c r="W378" s="897"/>
      <c r="X378" s="917"/>
      <c r="Y378" s="878"/>
      <c r="Z378" s="888"/>
      <c r="AA378" s="899"/>
      <c r="AB378" s="775"/>
      <c r="AC378" s="775"/>
      <c r="AD378" s="775"/>
      <c r="AE378" s="775"/>
      <c r="AF378" s="775"/>
      <c r="AG378" s="775"/>
      <c r="AH378" s="775"/>
      <c r="AI378" s="775"/>
      <c r="AJ378" s="775"/>
      <c r="AK378" s="775"/>
      <c r="AL378" s="775"/>
      <c r="AM378" s="775"/>
      <c r="AN378" s="775"/>
      <c r="AO378" s="775"/>
      <c r="AP378" s="775"/>
    </row>
    <row r="379" spans="1:42" s="717" customFormat="1" ht="48" customHeight="1">
      <c r="A379" s="868"/>
      <c r="B379" s="868"/>
      <c r="C379" s="936"/>
      <c r="D379" s="870"/>
      <c r="E379" s="870"/>
      <c r="F379" s="937"/>
      <c r="G379" s="885"/>
      <c r="H379" s="870"/>
      <c r="I379" s="775" t="s">
        <v>669</v>
      </c>
      <c r="J379" s="658">
        <f>VLOOKUP($I379,Prices!A:B,2,0)</f>
        <v>1</v>
      </c>
      <c r="K379" s="790">
        <v>0</v>
      </c>
      <c r="L379" s="680" t="s">
        <v>224</v>
      </c>
      <c r="M379" s="680" t="s">
        <v>194</v>
      </c>
      <c r="N379" s="647">
        <f>VLOOKUP($I379,Prices!A:D,4,0)</f>
        <v>22</v>
      </c>
      <c r="O379" s="772" t="s">
        <v>194</v>
      </c>
      <c r="P379" s="793" t="s">
        <v>194</v>
      </c>
      <c r="Q379" s="886"/>
      <c r="R379" s="886"/>
      <c r="S379" s="886"/>
      <c r="T379" s="870"/>
      <c r="U379" s="897"/>
      <c r="V379" s="897"/>
      <c r="W379" s="897"/>
      <c r="X379" s="917"/>
      <c r="Y379" s="878"/>
      <c r="Z379" s="888"/>
      <c r="AA379" s="899"/>
      <c r="AB379" s="775"/>
      <c r="AC379" s="775"/>
      <c r="AD379" s="775"/>
      <c r="AE379" s="775"/>
      <c r="AF379" s="775"/>
      <c r="AG379" s="775"/>
      <c r="AH379" s="775"/>
      <c r="AI379" s="775"/>
      <c r="AJ379" s="775"/>
      <c r="AK379" s="775"/>
      <c r="AL379" s="775"/>
      <c r="AM379" s="775"/>
      <c r="AN379" s="775"/>
      <c r="AO379" s="775"/>
      <c r="AP379" s="775"/>
    </row>
    <row r="380" spans="1:42" s="141" customFormat="1" ht="39" customHeight="1">
      <c r="A380" s="868" t="s">
        <v>1097</v>
      </c>
      <c r="B380" s="868" t="s">
        <v>1080</v>
      </c>
      <c r="C380" s="936">
        <v>44670</v>
      </c>
      <c r="D380" s="870" t="s">
        <v>212</v>
      </c>
      <c r="E380" s="870" t="s">
        <v>221</v>
      </c>
      <c r="F380" s="937" t="s">
        <v>1098</v>
      </c>
      <c r="G380" s="885" t="s">
        <v>201</v>
      </c>
      <c r="H380" s="939" t="s">
        <v>194</v>
      </c>
      <c r="I380" s="620" t="s">
        <v>1099</v>
      </c>
      <c r="J380" s="658">
        <f>VLOOKUP($I380,Prices!A:B,2,0)</f>
        <v>1</v>
      </c>
      <c r="K380" s="790">
        <v>0</v>
      </c>
      <c r="L380" s="680" t="s">
        <v>224</v>
      </c>
      <c r="M380" s="788" t="s">
        <v>194</v>
      </c>
      <c r="N380" s="708">
        <f>VLOOKUP($I380,Prices!A:D,4,0)</f>
        <v>1.5</v>
      </c>
      <c r="O380" s="772" t="s">
        <v>194</v>
      </c>
      <c r="P380" s="793" t="s">
        <v>194</v>
      </c>
      <c r="Q380" s="886" t="s">
        <v>194</v>
      </c>
      <c r="R380" s="886" t="s">
        <v>194</v>
      </c>
      <c r="S380" s="886" t="s">
        <v>194</v>
      </c>
      <c r="T380" s="870" t="s">
        <v>298</v>
      </c>
      <c r="U380" s="897" t="s">
        <v>1100</v>
      </c>
      <c r="V380" s="940" t="s">
        <v>194</v>
      </c>
      <c r="W380" s="940" t="s">
        <v>194</v>
      </c>
      <c r="X380" s="917" t="s">
        <v>194</v>
      </c>
      <c r="Y380" s="878">
        <v>0</v>
      </c>
      <c r="Z380" s="888">
        <v>0</v>
      </c>
      <c r="AA380" s="899" t="s">
        <v>1101</v>
      </c>
      <c r="AB380" s="775"/>
      <c r="AC380" s="775"/>
      <c r="AD380" s="775"/>
      <c r="AE380" s="775"/>
      <c r="AF380" s="775"/>
      <c r="AG380" s="775"/>
      <c r="AH380" s="775"/>
      <c r="AI380" s="775"/>
      <c r="AJ380" s="775"/>
      <c r="AK380" s="775"/>
      <c r="AL380" s="775"/>
      <c r="AM380" s="775"/>
      <c r="AN380" s="775"/>
      <c r="AO380" s="775"/>
      <c r="AP380" s="775"/>
    </row>
    <row r="381" spans="1:42" s="717" customFormat="1" ht="39" customHeight="1">
      <c r="A381" s="868"/>
      <c r="B381" s="868"/>
      <c r="C381" s="936"/>
      <c r="D381" s="870"/>
      <c r="E381" s="870"/>
      <c r="F381" s="937"/>
      <c r="G381" s="885"/>
      <c r="H381" s="939"/>
      <c r="I381" s="620" t="s">
        <v>1102</v>
      </c>
      <c r="J381" s="658">
        <f>VLOOKUP($I381,Prices!A:B,2,0)</f>
        <v>1</v>
      </c>
      <c r="K381" s="790">
        <v>0</v>
      </c>
      <c r="L381" s="680" t="s">
        <v>224</v>
      </c>
      <c r="M381" s="788" t="s">
        <v>194</v>
      </c>
      <c r="N381" s="708" t="str">
        <f>VLOOKUP($I381,Prices!A:D,4,0)</f>
        <v>.</v>
      </c>
      <c r="O381" s="772"/>
      <c r="P381" s="793" t="s">
        <v>194</v>
      </c>
      <c r="Q381" s="886"/>
      <c r="R381" s="886"/>
      <c r="S381" s="886"/>
      <c r="T381" s="870"/>
      <c r="U381" s="897"/>
      <c r="V381" s="940"/>
      <c r="W381" s="940"/>
      <c r="X381" s="917"/>
      <c r="Y381" s="878"/>
      <c r="Z381" s="888"/>
      <c r="AA381" s="899"/>
      <c r="AB381" s="775"/>
      <c r="AC381" s="775"/>
      <c r="AD381" s="775"/>
      <c r="AE381" s="775"/>
      <c r="AF381" s="775"/>
      <c r="AG381" s="775"/>
      <c r="AH381" s="775"/>
      <c r="AI381" s="775"/>
      <c r="AJ381" s="775"/>
      <c r="AK381" s="775"/>
      <c r="AL381" s="775"/>
      <c r="AM381" s="775"/>
      <c r="AN381" s="775"/>
      <c r="AO381" s="775"/>
      <c r="AP381" s="775"/>
    </row>
    <row r="382" spans="1:42" s="717" customFormat="1" ht="39" customHeight="1">
      <c r="A382" s="868"/>
      <c r="B382" s="868"/>
      <c r="C382" s="936"/>
      <c r="D382" s="870"/>
      <c r="E382" s="870"/>
      <c r="F382" s="937"/>
      <c r="G382" s="885"/>
      <c r="H382" s="939"/>
      <c r="I382" s="620" t="s">
        <v>685</v>
      </c>
      <c r="J382" s="658">
        <f>VLOOKUP($I382,Prices!A:B,2,0)</f>
        <v>5</v>
      </c>
      <c r="K382" s="790">
        <v>0</v>
      </c>
      <c r="L382" s="680" t="s">
        <v>224</v>
      </c>
      <c r="M382" s="788" t="s">
        <v>194</v>
      </c>
      <c r="N382" s="708" t="str">
        <f>VLOOKUP($I382,Prices!A:D,4,0)</f>
        <v>.</v>
      </c>
      <c r="O382" s="772"/>
      <c r="P382" s="793" t="s">
        <v>194</v>
      </c>
      <c r="Q382" s="886"/>
      <c r="R382" s="886"/>
      <c r="S382" s="886"/>
      <c r="T382" s="870"/>
      <c r="U382" s="897"/>
      <c r="V382" s="940"/>
      <c r="W382" s="940"/>
      <c r="X382" s="917"/>
      <c r="Y382" s="878"/>
      <c r="Z382" s="888"/>
      <c r="AA382" s="899"/>
      <c r="AB382" s="775"/>
      <c r="AC382" s="775"/>
      <c r="AD382" s="775"/>
      <c r="AE382" s="775"/>
      <c r="AF382" s="775"/>
      <c r="AG382" s="775"/>
      <c r="AH382" s="775"/>
      <c r="AI382" s="775"/>
      <c r="AJ382" s="775"/>
      <c r="AK382" s="775"/>
      <c r="AL382" s="775"/>
      <c r="AM382" s="775"/>
      <c r="AN382" s="775"/>
      <c r="AO382" s="775"/>
      <c r="AP382" s="775"/>
    </row>
    <row r="383" spans="1:42" ht="51" customHeight="1">
      <c r="A383" s="767" t="s">
        <v>1103</v>
      </c>
      <c r="B383" s="767" t="s">
        <v>1080</v>
      </c>
      <c r="C383" s="768">
        <v>44645</v>
      </c>
      <c r="D383" s="767" t="s">
        <v>292</v>
      </c>
      <c r="E383" s="767" t="s">
        <v>351</v>
      </c>
      <c r="F383" s="787" t="s">
        <v>1104</v>
      </c>
      <c r="G383" s="770">
        <v>100000000</v>
      </c>
      <c r="H383" s="761" t="s">
        <v>260</v>
      </c>
      <c r="I383" s="767" t="s">
        <v>194</v>
      </c>
      <c r="J383" s="658" t="str">
        <f>VLOOKUP($I383,Prices!A:B,2,0)</f>
        <v>.</v>
      </c>
      <c r="K383" s="790" t="s">
        <v>194</v>
      </c>
      <c r="L383" s="651" t="s">
        <v>194</v>
      </c>
      <c r="M383" s="651" t="s">
        <v>194</v>
      </c>
      <c r="N383" s="647" t="str">
        <f>VLOOKUP($I383,Prices!A:D,4,0)</f>
        <v>.</v>
      </c>
      <c r="O383" s="769" t="s">
        <v>194</v>
      </c>
      <c r="P383" s="793" t="s">
        <v>194</v>
      </c>
      <c r="Q383" s="769">
        <f t="shared" ref="Q383:Q389" si="26">G383</f>
        <v>100000000</v>
      </c>
      <c r="R383" s="769">
        <f>Q383/VLOOKUP(H383, 'Currency Conversion'!B:C, 2, 0)</f>
        <v>94696969.696969688</v>
      </c>
      <c r="S383" s="763" t="s">
        <v>194</v>
      </c>
      <c r="T383" s="761" t="s">
        <v>195</v>
      </c>
      <c r="U383" s="756" t="s">
        <v>1105</v>
      </c>
      <c r="V383" s="756" t="s">
        <v>1106</v>
      </c>
      <c r="W383" s="756" t="s">
        <v>1107</v>
      </c>
      <c r="X383" s="811" t="s">
        <v>194</v>
      </c>
      <c r="Y383" s="759">
        <v>1</v>
      </c>
      <c r="Z383" s="761">
        <v>0</v>
      </c>
      <c r="AA383" s="802" t="s">
        <v>194</v>
      </c>
      <c r="AB383" s="767"/>
      <c r="AC383" s="767"/>
      <c r="AD383" s="767"/>
      <c r="AE383" s="767"/>
      <c r="AF383" s="767"/>
      <c r="AG383" s="767"/>
      <c r="AH383" s="767"/>
      <c r="AI383" s="767"/>
      <c r="AJ383" s="767"/>
      <c r="AK383" s="767"/>
      <c r="AL383" s="767"/>
      <c r="AM383" s="767"/>
      <c r="AN383" s="767"/>
      <c r="AO383" s="767"/>
      <c r="AP383" s="767"/>
    </row>
    <row r="384" spans="1:42" ht="51" customHeight="1">
      <c r="A384" s="775" t="s">
        <v>1108</v>
      </c>
      <c r="B384" s="767" t="s">
        <v>1080</v>
      </c>
      <c r="C384" s="768">
        <v>44670</v>
      </c>
      <c r="D384" s="767" t="s">
        <v>292</v>
      </c>
      <c r="E384" s="767" t="s">
        <v>351</v>
      </c>
      <c r="F384" s="787" t="s">
        <v>1109</v>
      </c>
      <c r="G384" s="770">
        <v>200000000</v>
      </c>
      <c r="H384" s="761" t="s">
        <v>260</v>
      </c>
      <c r="I384" s="767" t="s">
        <v>194</v>
      </c>
      <c r="J384" s="658" t="str">
        <f>VLOOKUP($I384,Prices!A:B,2,0)</f>
        <v>.</v>
      </c>
      <c r="K384" s="790" t="s">
        <v>194</v>
      </c>
      <c r="L384" s="651" t="s">
        <v>194</v>
      </c>
      <c r="M384" s="651" t="s">
        <v>194</v>
      </c>
      <c r="N384" s="708" t="str">
        <f>VLOOKUP($I384,Prices!A:D,4,0)</f>
        <v>.</v>
      </c>
      <c r="O384" s="769" t="s">
        <v>194</v>
      </c>
      <c r="P384" s="793" t="s">
        <v>194</v>
      </c>
      <c r="Q384" s="769">
        <f t="shared" si="26"/>
        <v>200000000</v>
      </c>
      <c r="R384" s="769">
        <f>Q384/VLOOKUP(H384, 'Currency Conversion'!B:C, 2, 0)</f>
        <v>189393939.39393938</v>
      </c>
      <c r="S384" s="763" t="s">
        <v>194</v>
      </c>
      <c r="T384" s="761" t="s">
        <v>325</v>
      </c>
      <c r="U384" s="756" t="s">
        <v>1110</v>
      </c>
      <c r="V384" s="756" t="s">
        <v>1111</v>
      </c>
      <c r="W384" s="756" t="s">
        <v>1112</v>
      </c>
      <c r="X384" s="811" t="s">
        <v>194</v>
      </c>
      <c r="Y384" s="759">
        <v>0</v>
      </c>
      <c r="Z384" s="761">
        <v>0</v>
      </c>
      <c r="AA384" s="802" t="s">
        <v>194</v>
      </c>
      <c r="AB384" s="767"/>
      <c r="AC384" s="767"/>
      <c r="AD384" s="767"/>
      <c r="AE384" s="767"/>
      <c r="AF384" s="767"/>
      <c r="AG384" s="767"/>
      <c r="AH384" s="767"/>
      <c r="AI384" s="767"/>
      <c r="AJ384" s="767"/>
      <c r="AK384" s="767"/>
      <c r="AL384" s="767"/>
      <c r="AM384" s="767"/>
      <c r="AN384" s="767"/>
      <c r="AO384" s="767"/>
      <c r="AP384" s="767"/>
    </row>
    <row r="385" spans="1:42" s="141" customFormat="1" ht="51" customHeight="1">
      <c r="A385" s="775" t="s">
        <v>1113</v>
      </c>
      <c r="B385" s="775" t="s">
        <v>1080</v>
      </c>
      <c r="C385" s="780">
        <v>44700</v>
      </c>
      <c r="D385" s="775" t="s">
        <v>292</v>
      </c>
      <c r="E385" s="775" t="s">
        <v>351</v>
      </c>
      <c r="F385" s="773" t="s">
        <v>1114</v>
      </c>
      <c r="G385" s="777">
        <v>300000000</v>
      </c>
      <c r="H385" s="757" t="s">
        <v>260</v>
      </c>
      <c r="I385" s="775" t="s">
        <v>194</v>
      </c>
      <c r="J385" s="658" t="str">
        <f>VLOOKUP($I385,Prices!A:B,2,0)</f>
        <v>.</v>
      </c>
      <c r="K385" s="790" t="s">
        <v>194</v>
      </c>
      <c r="L385" s="788" t="s">
        <v>194</v>
      </c>
      <c r="M385" s="788" t="s">
        <v>194</v>
      </c>
      <c r="N385" s="647" t="str">
        <f>VLOOKUP($I385,Prices!A:D,4,0)</f>
        <v>.</v>
      </c>
      <c r="O385" s="772" t="s">
        <v>194</v>
      </c>
      <c r="P385" s="793" t="s">
        <v>194</v>
      </c>
      <c r="Q385" s="772">
        <f t="shared" si="26"/>
        <v>300000000</v>
      </c>
      <c r="R385" s="772">
        <f>Q385/VLOOKUP(H385, 'Currency Conversion'!B:C, 2, 0)</f>
        <v>284090909.09090906</v>
      </c>
      <c r="S385" s="749" t="s">
        <v>194</v>
      </c>
      <c r="T385" s="757" t="s">
        <v>298</v>
      </c>
      <c r="U385" s="756" t="s">
        <v>1115</v>
      </c>
      <c r="V385" s="756" t="s">
        <v>1116</v>
      </c>
      <c r="W385" s="756" t="s">
        <v>1117</v>
      </c>
      <c r="X385" s="811" t="s">
        <v>194</v>
      </c>
      <c r="Y385" s="759">
        <v>1</v>
      </c>
      <c r="Z385" s="757">
        <v>0</v>
      </c>
      <c r="AA385" s="679" t="s">
        <v>194</v>
      </c>
      <c r="AB385" s="775"/>
      <c r="AC385" s="775"/>
      <c r="AD385" s="775"/>
      <c r="AE385" s="775"/>
      <c r="AF385" s="775"/>
      <c r="AG385" s="775"/>
      <c r="AH385" s="775"/>
      <c r="AI385" s="775"/>
      <c r="AJ385" s="775"/>
      <c r="AK385" s="775"/>
      <c r="AL385" s="775"/>
      <c r="AM385" s="775"/>
      <c r="AN385" s="775"/>
      <c r="AO385" s="775"/>
      <c r="AP385" s="775"/>
    </row>
    <row r="386" spans="1:42" ht="109.5" customHeight="1">
      <c r="A386" s="767" t="s">
        <v>1118</v>
      </c>
      <c r="B386" s="767" t="s">
        <v>1119</v>
      </c>
      <c r="C386" s="768">
        <v>44621</v>
      </c>
      <c r="D386" s="767" t="s">
        <v>190</v>
      </c>
      <c r="E386" s="767" t="s">
        <v>375</v>
      </c>
      <c r="F386" s="806" t="s">
        <v>1120</v>
      </c>
      <c r="G386" s="769">
        <v>1200000</v>
      </c>
      <c r="H386" s="761" t="s">
        <v>278</v>
      </c>
      <c r="I386" s="767" t="s">
        <v>194</v>
      </c>
      <c r="J386" s="658" t="str">
        <f>VLOOKUP($I386,Prices!A:B,2,0)</f>
        <v>.</v>
      </c>
      <c r="K386" s="790" t="s">
        <v>194</v>
      </c>
      <c r="L386" s="651" t="s">
        <v>194</v>
      </c>
      <c r="M386" s="651" t="s">
        <v>194</v>
      </c>
      <c r="N386" s="708" t="str">
        <f>VLOOKUP($I386,Prices!A:D,4,0)</f>
        <v>.</v>
      </c>
      <c r="O386" s="769" t="s">
        <v>194</v>
      </c>
      <c r="P386" s="793" t="s">
        <v>194</v>
      </c>
      <c r="Q386" s="769">
        <f t="shared" si="26"/>
        <v>1200000</v>
      </c>
      <c r="R386" s="769">
        <f>Q386/VLOOKUP(H386, 'Currency Conversion'!B:C, 2, 0)</f>
        <v>1200000</v>
      </c>
      <c r="S386" s="763" t="s">
        <v>194</v>
      </c>
      <c r="T386" s="761" t="s">
        <v>195</v>
      </c>
      <c r="U386" s="756" t="s">
        <v>1121</v>
      </c>
      <c r="V386" s="756" t="s">
        <v>1122</v>
      </c>
      <c r="W386" s="756" t="s">
        <v>1123</v>
      </c>
      <c r="X386" s="811" t="s">
        <v>194</v>
      </c>
      <c r="Y386" s="759">
        <v>0</v>
      </c>
      <c r="Z386" s="761">
        <v>0</v>
      </c>
      <c r="AA386" s="802" t="s">
        <v>194</v>
      </c>
      <c r="AB386" s="767"/>
      <c r="AC386" s="767"/>
      <c r="AD386" s="767"/>
      <c r="AE386" s="767"/>
      <c r="AF386" s="767"/>
      <c r="AG386" s="767"/>
      <c r="AH386" s="767"/>
      <c r="AI386" s="767"/>
      <c r="AJ386" s="767"/>
      <c r="AK386" s="767"/>
      <c r="AL386" s="767"/>
      <c r="AM386" s="767"/>
      <c r="AN386" s="767"/>
      <c r="AO386" s="767"/>
      <c r="AP386" s="767"/>
    </row>
    <row r="387" spans="1:42" s="141" customFormat="1" ht="53.25" customHeight="1">
      <c r="A387" s="868" t="s">
        <v>1124</v>
      </c>
      <c r="B387" s="868" t="s">
        <v>1119</v>
      </c>
      <c r="C387" s="867">
        <v>44649</v>
      </c>
      <c r="D387" s="868" t="s">
        <v>190</v>
      </c>
      <c r="E387" s="868" t="s">
        <v>199</v>
      </c>
      <c r="F387" s="928" t="s">
        <v>1125</v>
      </c>
      <c r="G387" s="869">
        <v>167417</v>
      </c>
      <c r="H387" s="870" t="s">
        <v>278</v>
      </c>
      <c r="I387" s="775" t="s">
        <v>1126</v>
      </c>
      <c r="J387" s="658">
        <f>VLOOKUP($I387,Prices!A:B,2,0)</f>
        <v>0</v>
      </c>
      <c r="K387" s="790">
        <f>VLOOKUP(I387,Prices!A:C,3,0)</f>
        <v>0</v>
      </c>
      <c r="L387" s="788" t="s">
        <v>194</v>
      </c>
      <c r="M387" s="651" t="s">
        <v>194</v>
      </c>
      <c r="N387" s="647" t="str">
        <f>VLOOKUP($I387,Prices!A:D,4,0)</f>
        <v>88347.31</v>
      </c>
      <c r="O387" s="869" t="s">
        <v>194</v>
      </c>
      <c r="P387" s="793" t="s">
        <v>194</v>
      </c>
      <c r="Q387" s="869">
        <f t="shared" si="26"/>
        <v>167417</v>
      </c>
      <c r="R387" s="877">
        <f>Q387/VLOOKUP(H387, 'Currency Conversion'!B:C, 2, 0)</f>
        <v>167417</v>
      </c>
      <c r="S387" s="891" t="s">
        <v>194</v>
      </c>
      <c r="T387" s="870" t="s">
        <v>195</v>
      </c>
      <c r="U387" s="854" t="s">
        <v>1127</v>
      </c>
      <c r="V387" s="882" t="s">
        <v>194</v>
      </c>
      <c r="W387" s="882" t="s">
        <v>194</v>
      </c>
      <c r="X387" s="900" t="s">
        <v>194</v>
      </c>
      <c r="Y387" s="759">
        <v>0</v>
      </c>
      <c r="Z387" s="761">
        <v>0</v>
      </c>
      <c r="AA387" s="893" t="s">
        <v>194</v>
      </c>
      <c r="AB387" s="775"/>
      <c r="AC387" s="775"/>
      <c r="AD387" s="775"/>
      <c r="AE387" s="775"/>
      <c r="AF387" s="775"/>
      <c r="AG387" s="775"/>
      <c r="AH387" s="775"/>
      <c r="AI387" s="775"/>
      <c r="AJ387" s="775"/>
      <c r="AK387" s="775"/>
      <c r="AL387" s="775"/>
      <c r="AM387" s="775"/>
      <c r="AN387" s="775"/>
      <c r="AO387" s="775"/>
      <c r="AP387" s="775"/>
    </row>
    <row r="388" spans="1:42" s="141" customFormat="1" ht="68.25" customHeight="1">
      <c r="A388" s="868"/>
      <c r="B388" s="868"/>
      <c r="C388" s="867"/>
      <c r="D388" s="868"/>
      <c r="E388" s="868"/>
      <c r="F388" s="928"/>
      <c r="G388" s="869"/>
      <c r="H388" s="870"/>
      <c r="I388" s="775" t="s">
        <v>1128</v>
      </c>
      <c r="J388" s="658">
        <f>VLOOKUP($I388,Prices!A:B,2,0)</f>
        <v>0</v>
      </c>
      <c r="K388" s="790">
        <f>VLOOKUP(I388,Prices!A:C,3,0)</f>
        <v>0</v>
      </c>
      <c r="L388" s="788" t="s">
        <v>194</v>
      </c>
      <c r="M388" s="651" t="s">
        <v>194</v>
      </c>
      <c r="N388" s="707" t="str">
        <f>VLOOKUP($I388,Prices!A:D,4,0)</f>
        <v>31.54</v>
      </c>
      <c r="O388" s="869"/>
      <c r="P388" s="793" t="s">
        <v>194</v>
      </c>
      <c r="Q388" s="869"/>
      <c r="R388" s="877"/>
      <c r="S388" s="891"/>
      <c r="T388" s="870"/>
      <c r="U388" s="854"/>
      <c r="V388" s="882"/>
      <c r="W388" s="882"/>
      <c r="X388" s="900"/>
      <c r="Y388" s="759"/>
      <c r="Z388" s="761"/>
      <c r="AA388" s="893"/>
      <c r="AB388" s="775"/>
      <c r="AC388" s="775"/>
      <c r="AD388" s="775"/>
      <c r="AE388" s="775"/>
      <c r="AF388" s="775"/>
      <c r="AG388" s="775"/>
      <c r="AH388" s="775"/>
      <c r="AI388" s="775"/>
      <c r="AJ388" s="775"/>
      <c r="AK388" s="775"/>
      <c r="AL388" s="775"/>
      <c r="AM388" s="775"/>
      <c r="AN388" s="775"/>
      <c r="AO388" s="775"/>
      <c r="AP388" s="775"/>
    </row>
    <row r="389" spans="1:42" s="141" customFormat="1" ht="29.25" customHeight="1">
      <c r="A389" s="868" t="s">
        <v>1129</v>
      </c>
      <c r="B389" s="868" t="s">
        <v>1119</v>
      </c>
      <c r="C389" s="867" t="s">
        <v>1130</v>
      </c>
      <c r="D389" s="868" t="s">
        <v>212</v>
      </c>
      <c r="E389" s="868" t="s">
        <v>213</v>
      </c>
      <c r="F389" s="928" t="s">
        <v>1131</v>
      </c>
      <c r="G389" s="869">
        <v>218800000</v>
      </c>
      <c r="H389" s="870" t="s">
        <v>278</v>
      </c>
      <c r="I389" s="775" t="s">
        <v>1132</v>
      </c>
      <c r="J389" s="658">
        <f>VLOOKUP($I389,Prices!A:B,2,0)</f>
        <v>1</v>
      </c>
      <c r="K389" s="790">
        <f>VLOOKUP(I389,Prices!A:C,3,0)</f>
        <v>0</v>
      </c>
      <c r="L389" s="788" t="s">
        <v>224</v>
      </c>
      <c r="M389" s="788" t="s">
        <v>224</v>
      </c>
      <c r="N389" s="647" t="str">
        <f>VLOOKUP($I389,Prices!A:D,4,0)</f>
        <v>.</v>
      </c>
      <c r="O389" s="772" t="s">
        <v>194</v>
      </c>
      <c r="P389" s="793" t="s">
        <v>194</v>
      </c>
      <c r="Q389" s="869">
        <f t="shared" si="26"/>
        <v>218800000</v>
      </c>
      <c r="R389" s="869">
        <f>Q389/VLOOKUP(H389, 'Currency Conversion'!B:C, 2, 0)</f>
        <v>218800000</v>
      </c>
      <c r="S389" s="886">
        <f>R389</f>
        <v>218800000</v>
      </c>
      <c r="T389" s="870" t="s">
        <v>195</v>
      </c>
      <c r="U389" s="854" t="s">
        <v>1133</v>
      </c>
      <c r="V389" s="854" t="s">
        <v>1134</v>
      </c>
      <c r="W389" s="854" t="s">
        <v>1121</v>
      </c>
      <c r="X389" s="883" t="s">
        <v>1135</v>
      </c>
      <c r="Y389" s="878">
        <v>0</v>
      </c>
      <c r="Z389" s="870">
        <v>0</v>
      </c>
      <c r="AA389" s="897" t="s">
        <v>1134</v>
      </c>
      <c r="AB389" s="775"/>
      <c r="AC389" s="775"/>
      <c r="AD389" s="775"/>
      <c r="AE389" s="775"/>
      <c r="AF389" s="775"/>
      <c r="AG389" s="775"/>
      <c r="AH389" s="775"/>
      <c r="AI389" s="775"/>
      <c r="AJ389" s="775"/>
      <c r="AK389" s="775"/>
      <c r="AL389" s="775"/>
      <c r="AM389" s="775"/>
      <c r="AN389" s="775"/>
      <c r="AO389" s="775"/>
      <c r="AP389" s="775"/>
    </row>
    <row r="390" spans="1:42" s="141" customFormat="1" ht="22.5" customHeight="1">
      <c r="A390" s="868"/>
      <c r="B390" s="868"/>
      <c r="C390" s="867"/>
      <c r="D390" s="868"/>
      <c r="E390" s="868"/>
      <c r="F390" s="928"/>
      <c r="G390" s="869"/>
      <c r="H390" s="870"/>
      <c r="I390" s="775" t="s">
        <v>644</v>
      </c>
      <c r="J390" s="658">
        <f>VLOOKUP($I390,Prices!A:B,2,0)</f>
        <v>3</v>
      </c>
      <c r="K390" s="790">
        <f>VLOOKUP(I390,Prices!A:C,3,0)</f>
        <v>0</v>
      </c>
      <c r="L390" s="788" t="s">
        <v>224</v>
      </c>
      <c r="M390" s="788" t="s">
        <v>224</v>
      </c>
      <c r="N390" s="707">
        <f>VLOOKUP($I390,Prices!A:D,4,0)</f>
        <v>119000</v>
      </c>
      <c r="O390" s="772" t="s">
        <v>194</v>
      </c>
      <c r="P390" s="793" t="s">
        <v>194</v>
      </c>
      <c r="Q390" s="869"/>
      <c r="R390" s="869"/>
      <c r="S390" s="886"/>
      <c r="T390" s="870"/>
      <c r="U390" s="854"/>
      <c r="V390" s="854"/>
      <c r="W390" s="854"/>
      <c r="X390" s="883"/>
      <c r="Y390" s="878"/>
      <c r="Z390" s="870"/>
      <c r="AA390" s="897"/>
      <c r="AB390" s="775"/>
      <c r="AC390" s="775"/>
      <c r="AD390" s="775"/>
      <c r="AE390" s="775"/>
      <c r="AF390" s="775"/>
      <c r="AG390" s="775"/>
      <c r="AH390" s="775"/>
      <c r="AI390" s="775"/>
      <c r="AJ390" s="775"/>
      <c r="AK390" s="775"/>
      <c r="AL390" s="775"/>
      <c r="AM390" s="775"/>
      <c r="AN390" s="775"/>
      <c r="AO390" s="775"/>
      <c r="AP390" s="775"/>
    </row>
    <row r="391" spans="1:42" s="141" customFormat="1" ht="20.25" customHeight="1">
      <c r="A391" s="868"/>
      <c r="B391" s="868"/>
      <c r="C391" s="867"/>
      <c r="D391" s="868"/>
      <c r="E391" s="868"/>
      <c r="F391" s="928"/>
      <c r="G391" s="869"/>
      <c r="H391" s="870"/>
      <c r="I391" s="775" t="s">
        <v>1136</v>
      </c>
      <c r="J391" s="658">
        <f>VLOOKUP($I391,Prices!A:B,2,0)</f>
        <v>5</v>
      </c>
      <c r="K391" s="790">
        <f>VLOOKUP(I391,Prices!A:C,3,0)</f>
        <v>0</v>
      </c>
      <c r="L391" s="788" t="s">
        <v>224</v>
      </c>
      <c r="M391" s="788" t="s">
        <v>224</v>
      </c>
      <c r="N391" s="647" t="str">
        <f>VLOOKUP($I391,Prices!A:D,4,0)</f>
        <v>.</v>
      </c>
      <c r="O391" s="772" t="s">
        <v>194</v>
      </c>
      <c r="P391" s="793" t="s">
        <v>194</v>
      </c>
      <c r="Q391" s="869"/>
      <c r="R391" s="869"/>
      <c r="S391" s="886"/>
      <c r="T391" s="870"/>
      <c r="U391" s="854"/>
      <c r="V391" s="854"/>
      <c r="W391" s="854"/>
      <c r="X391" s="883"/>
      <c r="Y391" s="878"/>
      <c r="Z391" s="870"/>
      <c r="AA391" s="897"/>
      <c r="AB391" s="775"/>
      <c r="AC391" s="775"/>
      <c r="AD391" s="775"/>
      <c r="AE391" s="775"/>
      <c r="AF391" s="775"/>
      <c r="AG391" s="775"/>
      <c r="AH391" s="775"/>
      <c r="AI391" s="775"/>
      <c r="AJ391" s="775"/>
      <c r="AK391" s="775"/>
      <c r="AL391" s="775"/>
      <c r="AM391" s="775"/>
      <c r="AN391" s="775"/>
      <c r="AO391" s="775"/>
      <c r="AP391" s="775"/>
    </row>
    <row r="392" spans="1:42" s="141" customFormat="1" ht="17.25" customHeight="1">
      <c r="A392" s="868"/>
      <c r="B392" s="868"/>
      <c r="C392" s="867"/>
      <c r="D392" s="868"/>
      <c r="E392" s="868"/>
      <c r="F392" s="928"/>
      <c r="G392" s="869"/>
      <c r="H392" s="870"/>
      <c r="I392" s="775" t="s">
        <v>1137</v>
      </c>
      <c r="J392" s="658">
        <f>VLOOKUP($I392,Prices!A:B,2,0)</f>
        <v>5</v>
      </c>
      <c r="K392" s="790">
        <f>VLOOKUP(I392,Prices!A:C,3,0)</f>
        <v>0</v>
      </c>
      <c r="L392" s="788" t="s">
        <v>224</v>
      </c>
      <c r="M392" s="788" t="s">
        <v>224</v>
      </c>
      <c r="N392" s="707">
        <f>VLOOKUP($I392,Prices!A:D,4,0)</f>
        <v>4612500</v>
      </c>
      <c r="O392" s="772" t="s">
        <v>194</v>
      </c>
      <c r="P392" s="793" t="s">
        <v>194</v>
      </c>
      <c r="Q392" s="869"/>
      <c r="R392" s="869"/>
      <c r="S392" s="886"/>
      <c r="T392" s="870"/>
      <c r="U392" s="854"/>
      <c r="V392" s="854"/>
      <c r="W392" s="854"/>
      <c r="X392" s="883"/>
      <c r="Y392" s="878"/>
      <c r="Z392" s="870"/>
      <c r="AA392" s="897"/>
      <c r="AB392" s="775"/>
      <c r="AC392" s="775"/>
      <c r="AD392" s="775"/>
      <c r="AE392" s="775"/>
      <c r="AF392" s="775"/>
      <c r="AG392" s="775"/>
      <c r="AH392" s="775"/>
      <c r="AI392" s="775"/>
      <c r="AJ392" s="775"/>
      <c r="AK392" s="775"/>
      <c r="AL392" s="775"/>
      <c r="AM392" s="775"/>
      <c r="AN392" s="775"/>
      <c r="AO392" s="775"/>
      <c r="AP392" s="775"/>
    </row>
    <row r="393" spans="1:42" s="141" customFormat="1" ht="23.25" customHeight="1">
      <c r="A393" s="868"/>
      <c r="B393" s="868"/>
      <c r="C393" s="867"/>
      <c r="D393" s="868"/>
      <c r="E393" s="868"/>
      <c r="F393" s="928"/>
      <c r="G393" s="869"/>
      <c r="H393" s="870"/>
      <c r="I393" s="775" t="s">
        <v>1138</v>
      </c>
      <c r="J393" s="658">
        <f>VLOOKUP($I393,Prices!A:B,2,0)</f>
        <v>1</v>
      </c>
      <c r="K393" s="790">
        <f>VLOOKUP(I393,Prices!A:C,3,0)</f>
        <v>0</v>
      </c>
      <c r="L393" s="788" t="s">
        <v>224</v>
      </c>
      <c r="M393" s="788" t="s">
        <v>224</v>
      </c>
      <c r="N393" s="647" t="str">
        <f>VLOOKUP($I393,Prices!A:D,4,0)</f>
        <v>.</v>
      </c>
      <c r="O393" s="772" t="s">
        <v>194</v>
      </c>
      <c r="P393" s="793" t="s">
        <v>194</v>
      </c>
      <c r="Q393" s="869"/>
      <c r="R393" s="869"/>
      <c r="S393" s="886"/>
      <c r="T393" s="870"/>
      <c r="U393" s="854"/>
      <c r="V393" s="854"/>
      <c r="W393" s="854"/>
      <c r="X393" s="883"/>
      <c r="Y393" s="878"/>
      <c r="Z393" s="870"/>
      <c r="AA393" s="897"/>
      <c r="AB393" s="775"/>
      <c r="AC393" s="775"/>
      <c r="AD393" s="775"/>
      <c r="AE393" s="775"/>
      <c r="AF393" s="775"/>
      <c r="AG393" s="775"/>
      <c r="AH393" s="775"/>
      <c r="AI393" s="775"/>
      <c r="AJ393" s="775"/>
      <c r="AK393" s="775"/>
      <c r="AL393" s="775"/>
      <c r="AM393" s="775"/>
      <c r="AN393" s="775"/>
      <c r="AO393" s="775"/>
      <c r="AP393" s="775"/>
    </row>
    <row r="394" spans="1:42" s="141" customFormat="1" ht="76.5" customHeight="1">
      <c r="A394" s="868"/>
      <c r="B394" s="868"/>
      <c r="C394" s="867"/>
      <c r="D394" s="868"/>
      <c r="E394" s="868"/>
      <c r="F394" s="928"/>
      <c r="G394" s="869"/>
      <c r="H394" s="870"/>
      <c r="I394" s="775" t="s">
        <v>1139</v>
      </c>
      <c r="J394" s="658">
        <f>VLOOKUP($I394,Prices!A:B,2,0)</f>
        <v>1</v>
      </c>
      <c r="K394" s="790">
        <f>VLOOKUP(I394,Prices!A:C,3,0)</f>
        <v>0</v>
      </c>
      <c r="L394" s="788" t="s">
        <v>224</v>
      </c>
      <c r="M394" s="788" t="s">
        <v>224</v>
      </c>
      <c r="N394" s="707" t="str">
        <f>VLOOKUP($I394,Prices!A:D,4,0)</f>
        <v>.</v>
      </c>
      <c r="O394" s="772" t="s">
        <v>194</v>
      </c>
      <c r="P394" s="793" t="s">
        <v>194</v>
      </c>
      <c r="Q394" s="869"/>
      <c r="R394" s="869"/>
      <c r="S394" s="886"/>
      <c r="T394" s="870"/>
      <c r="U394" s="854"/>
      <c r="V394" s="854"/>
      <c r="W394" s="854"/>
      <c r="X394" s="883"/>
      <c r="Y394" s="878"/>
      <c r="Z394" s="870"/>
      <c r="AA394" s="897"/>
      <c r="AB394" s="775"/>
      <c r="AC394" s="775"/>
      <c r="AD394" s="775"/>
      <c r="AE394" s="775"/>
      <c r="AF394" s="775"/>
      <c r="AG394" s="775"/>
      <c r="AH394" s="775"/>
      <c r="AI394" s="775"/>
      <c r="AJ394" s="775"/>
      <c r="AK394" s="775"/>
      <c r="AL394" s="775"/>
      <c r="AM394" s="775"/>
      <c r="AN394" s="775"/>
      <c r="AO394" s="775"/>
      <c r="AP394" s="775"/>
    </row>
    <row r="395" spans="1:42" s="141" customFormat="1" ht="134.25" customHeight="1">
      <c r="A395" s="775" t="s">
        <v>1140</v>
      </c>
      <c r="B395" s="775" t="s">
        <v>1119</v>
      </c>
      <c r="C395" s="780">
        <v>44628</v>
      </c>
      <c r="D395" s="775" t="s">
        <v>292</v>
      </c>
      <c r="E395" s="775" t="s">
        <v>276</v>
      </c>
      <c r="F395" s="787" t="s">
        <v>1141</v>
      </c>
      <c r="G395" s="772">
        <v>5000000</v>
      </c>
      <c r="H395" s="757" t="s">
        <v>278</v>
      </c>
      <c r="I395" s="775" t="s">
        <v>194</v>
      </c>
      <c r="J395" s="658" t="str">
        <f>VLOOKUP($I395,Prices!A:B,2,0)</f>
        <v>.</v>
      </c>
      <c r="K395" s="790" t="s">
        <v>194</v>
      </c>
      <c r="L395" s="788" t="s">
        <v>194</v>
      </c>
      <c r="M395" s="651" t="s">
        <v>194</v>
      </c>
      <c r="N395" s="647" t="str">
        <f>VLOOKUP($I395,Prices!A:D,4,0)</f>
        <v>.</v>
      </c>
      <c r="O395" s="772" t="s">
        <v>194</v>
      </c>
      <c r="P395" s="793" t="s">
        <v>194</v>
      </c>
      <c r="Q395" s="772">
        <f>G395</f>
        <v>5000000</v>
      </c>
      <c r="R395" s="769">
        <f>Q395/VLOOKUP(H395, 'Currency Conversion'!B:C, 2, 0)</f>
        <v>5000000</v>
      </c>
      <c r="S395" s="763" t="s">
        <v>194</v>
      </c>
      <c r="T395" s="757" t="s">
        <v>240</v>
      </c>
      <c r="U395" s="756" t="s">
        <v>1142</v>
      </c>
      <c r="V395" s="756" t="s">
        <v>663</v>
      </c>
      <c r="W395" s="787" t="s">
        <v>194</v>
      </c>
      <c r="X395" s="771" t="s">
        <v>194</v>
      </c>
      <c r="Y395" s="759">
        <v>1</v>
      </c>
      <c r="Z395" s="761">
        <v>0</v>
      </c>
      <c r="AA395" s="802" t="s">
        <v>194</v>
      </c>
      <c r="AB395" s="775"/>
      <c r="AC395" s="775"/>
      <c r="AD395" s="775"/>
      <c r="AE395" s="775"/>
      <c r="AF395" s="775"/>
      <c r="AG395" s="775"/>
      <c r="AH395" s="775"/>
      <c r="AI395" s="775"/>
      <c r="AJ395" s="775"/>
      <c r="AK395" s="775"/>
      <c r="AL395" s="775"/>
      <c r="AM395" s="775"/>
      <c r="AN395" s="775"/>
      <c r="AO395" s="775"/>
      <c r="AP395" s="775"/>
    </row>
    <row r="396" spans="1:42" s="141" customFormat="1" ht="74.25" customHeight="1">
      <c r="A396" s="775" t="s">
        <v>1143</v>
      </c>
      <c r="B396" s="775" t="s">
        <v>1119</v>
      </c>
      <c r="C396" s="780">
        <v>44686</v>
      </c>
      <c r="D396" s="775" t="s">
        <v>292</v>
      </c>
      <c r="E396" s="775" t="s">
        <v>804</v>
      </c>
      <c r="F396" s="773" t="s">
        <v>1144</v>
      </c>
      <c r="G396" s="772">
        <v>10000000</v>
      </c>
      <c r="H396" s="757" t="s">
        <v>278</v>
      </c>
      <c r="I396" s="775" t="s">
        <v>194</v>
      </c>
      <c r="J396" s="658" t="str">
        <f>VLOOKUP($I396,Prices!A:B,2,0)</f>
        <v>.</v>
      </c>
      <c r="K396" s="790" t="s">
        <v>194</v>
      </c>
      <c r="L396" s="788" t="s">
        <v>194</v>
      </c>
      <c r="M396" s="788" t="s">
        <v>194</v>
      </c>
      <c r="N396" s="708" t="s">
        <v>194</v>
      </c>
      <c r="O396" s="772" t="s">
        <v>194</v>
      </c>
      <c r="P396" s="793" t="s">
        <v>194</v>
      </c>
      <c r="Q396" s="772">
        <f>G396</f>
        <v>10000000</v>
      </c>
      <c r="R396" s="769">
        <f>Q396/VLOOKUP(H396, 'Currency Conversion'!B:C, 2, 0)</f>
        <v>10000000</v>
      </c>
      <c r="S396" s="749" t="s">
        <v>194</v>
      </c>
      <c r="T396" s="757" t="s">
        <v>240</v>
      </c>
      <c r="U396" s="756" t="s">
        <v>312</v>
      </c>
      <c r="V396" s="756" t="s">
        <v>1145</v>
      </c>
      <c r="W396" s="773" t="s">
        <v>194</v>
      </c>
      <c r="X396" s="784" t="s">
        <v>194</v>
      </c>
      <c r="Y396" s="759">
        <v>1</v>
      </c>
      <c r="Z396" s="757">
        <v>1</v>
      </c>
      <c r="AA396" s="749" t="s">
        <v>194</v>
      </c>
      <c r="AB396" s="775"/>
      <c r="AC396" s="775"/>
      <c r="AD396" s="775"/>
      <c r="AE396" s="775"/>
      <c r="AF396" s="775"/>
      <c r="AG396" s="775"/>
      <c r="AH396" s="775"/>
      <c r="AI396" s="775"/>
      <c r="AJ396" s="775"/>
      <c r="AK396" s="775"/>
      <c r="AL396" s="775"/>
      <c r="AM396" s="775"/>
      <c r="AN396" s="775"/>
      <c r="AO396" s="775"/>
      <c r="AP396" s="775"/>
    </row>
    <row r="397" spans="1:42" ht="52.5" customHeight="1">
      <c r="A397" s="767" t="s">
        <v>1146</v>
      </c>
      <c r="B397" s="767" t="s">
        <v>1147</v>
      </c>
      <c r="C397" s="768" t="s">
        <v>1148</v>
      </c>
      <c r="D397" s="767" t="s">
        <v>212</v>
      </c>
      <c r="E397" s="767" t="s">
        <v>213</v>
      </c>
      <c r="F397" s="787" t="s">
        <v>1149</v>
      </c>
      <c r="G397" s="769">
        <v>29000000</v>
      </c>
      <c r="H397" s="761" t="s">
        <v>278</v>
      </c>
      <c r="I397" s="767" t="s">
        <v>644</v>
      </c>
      <c r="J397" s="658">
        <f>VLOOKUP($I397,Prices!A:B,2,0)</f>
        <v>3</v>
      </c>
      <c r="K397" s="790">
        <f>VLOOKUP(I397,Prices!A:C,3,0)</f>
        <v>0</v>
      </c>
      <c r="L397" s="651" t="s">
        <v>224</v>
      </c>
      <c r="M397" s="651" t="s">
        <v>224</v>
      </c>
      <c r="N397" s="647">
        <f>VLOOKUP($I397,Prices!A:D,4,0)</f>
        <v>119000</v>
      </c>
      <c r="O397" s="769" t="s">
        <v>194</v>
      </c>
      <c r="P397" s="793" t="s">
        <v>194</v>
      </c>
      <c r="Q397" s="769">
        <f>G397</f>
        <v>29000000</v>
      </c>
      <c r="R397" s="769">
        <f>Q397/VLOOKUP(H397, 'Currency Conversion'!B:C, 2, 0)</f>
        <v>29000000</v>
      </c>
      <c r="S397" s="763">
        <f>R397</f>
        <v>29000000</v>
      </c>
      <c r="T397" s="761" t="s">
        <v>298</v>
      </c>
      <c r="U397" s="756" t="s">
        <v>1150</v>
      </c>
      <c r="V397" s="787" t="s">
        <v>194</v>
      </c>
      <c r="W397" s="787" t="s">
        <v>194</v>
      </c>
      <c r="X397" s="771" t="s">
        <v>194</v>
      </c>
      <c r="Y397" s="759">
        <v>0</v>
      </c>
      <c r="Z397" s="761">
        <v>0</v>
      </c>
      <c r="AA397" s="762" t="s">
        <v>1151</v>
      </c>
      <c r="AB397" s="767"/>
      <c r="AC397" s="767"/>
      <c r="AD397" s="767"/>
      <c r="AE397" s="767"/>
      <c r="AF397" s="767"/>
      <c r="AG397" s="767"/>
      <c r="AH397" s="767"/>
      <c r="AI397" s="767"/>
      <c r="AJ397" s="767"/>
      <c r="AK397" s="767"/>
      <c r="AL397" s="767"/>
      <c r="AM397" s="767"/>
      <c r="AN397" s="767"/>
      <c r="AO397" s="767"/>
      <c r="AP397" s="767"/>
    </row>
    <row r="398" spans="1:42" s="141" customFormat="1" ht="32.25" customHeight="1">
      <c r="A398" s="868" t="s">
        <v>1152</v>
      </c>
      <c r="B398" s="868" t="s">
        <v>1147</v>
      </c>
      <c r="C398" s="867">
        <v>44643</v>
      </c>
      <c r="D398" s="868" t="s">
        <v>212</v>
      </c>
      <c r="E398" s="868" t="s">
        <v>221</v>
      </c>
      <c r="F398" s="890" t="s">
        <v>1153</v>
      </c>
      <c r="G398" s="869">
        <v>10000000</v>
      </c>
      <c r="H398" s="870" t="s">
        <v>278</v>
      </c>
      <c r="I398" s="775" t="s">
        <v>412</v>
      </c>
      <c r="J398" s="658">
        <f>VLOOKUP($I398,Prices!A:B,2,0)</f>
        <v>1</v>
      </c>
      <c r="K398" s="790">
        <f>VLOOKUP(I398,Prices!A:C,3,0)</f>
        <v>0</v>
      </c>
      <c r="L398" s="680" t="s">
        <v>224</v>
      </c>
      <c r="M398" s="680" t="s">
        <v>224</v>
      </c>
      <c r="N398" s="707">
        <f>VLOOKUP($I398,Prices!A:D,4,0)</f>
        <v>7600</v>
      </c>
      <c r="O398" s="769" t="s">
        <v>194</v>
      </c>
      <c r="P398" s="793" t="s">
        <v>194</v>
      </c>
      <c r="Q398" s="869">
        <f t="shared" ref="Q398:Q407" si="27">G398</f>
        <v>10000000</v>
      </c>
      <c r="R398" s="877">
        <f>Q398/VLOOKUP(H398, 'Currency Conversion'!B:C, 2, 0)</f>
        <v>10000000</v>
      </c>
      <c r="S398" s="885">
        <f>R398</f>
        <v>10000000</v>
      </c>
      <c r="T398" s="870" t="s">
        <v>298</v>
      </c>
      <c r="U398" s="854" t="s">
        <v>1154</v>
      </c>
      <c r="V398" s="854" t="s">
        <v>1155</v>
      </c>
      <c r="W398" s="890" t="s">
        <v>194</v>
      </c>
      <c r="X398" s="880" t="s">
        <v>194</v>
      </c>
      <c r="Y398" s="878">
        <v>0</v>
      </c>
      <c r="Z398" s="888">
        <v>0</v>
      </c>
      <c r="AA398" s="762" t="s">
        <v>447</v>
      </c>
      <c r="AB398" s="775"/>
      <c r="AC398" s="775"/>
      <c r="AD398" s="775"/>
      <c r="AE398" s="775"/>
      <c r="AF398" s="775"/>
      <c r="AG398" s="775"/>
      <c r="AH398" s="775"/>
      <c r="AI398" s="775"/>
      <c r="AJ398" s="775"/>
      <c r="AK398" s="775"/>
      <c r="AL398" s="775"/>
      <c r="AM398" s="775"/>
      <c r="AN398" s="775"/>
      <c r="AO398" s="775"/>
      <c r="AP398" s="775"/>
    </row>
    <row r="399" spans="1:42" s="141" customFormat="1" ht="30.75" customHeight="1">
      <c r="A399" s="868"/>
      <c r="B399" s="868"/>
      <c r="C399" s="867"/>
      <c r="D399" s="868"/>
      <c r="E399" s="868"/>
      <c r="F399" s="890"/>
      <c r="G399" s="869"/>
      <c r="H399" s="870"/>
      <c r="I399" s="775" t="s">
        <v>1156</v>
      </c>
      <c r="J399" s="658">
        <f>VLOOKUP($I399,Prices!A:B,2,0)</f>
        <v>3</v>
      </c>
      <c r="K399" s="790">
        <f>VLOOKUP(I399,Prices!A:C,3,0)</f>
        <v>0</v>
      </c>
      <c r="L399" s="680" t="s">
        <v>224</v>
      </c>
      <c r="M399" s="680" t="s">
        <v>224</v>
      </c>
      <c r="N399" s="647" t="str">
        <f>VLOOKUP($I399,Prices!A:D,4,0)</f>
        <v>.</v>
      </c>
      <c r="O399" s="769" t="s">
        <v>194</v>
      </c>
      <c r="P399" s="793" t="s">
        <v>194</v>
      </c>
      <c r="Q399" s="869"/>
      <c r="R399" s="877"/>
      <c r="S399" s="885"/>
      <c r="T399" s="870"/>
      <c r="U399" s="854"/>
      <c r="V399" s="854"/>
      <c r="W399" s="890"/>
      <c r="X399" s="880"/>
      <c r="Y399" s="878"/>
      <c r="Z399" s="888"/>
      <c r="AA399" s="762" t="s">
        <v>447</v>
      </c>
      <c r="AB399" s="775"/>
      <c r="AC399" s="775"/>
      <c r="AD399" s="775"/>
      <c r="AE399" s="775"/>
      <c r="AF399" s="775"/>
      <c r="AG399" s="775"/>
      <c r="AH399" s="775"/>
      <c r="AI399" s="775"/>
      <c r="AJ399" s="775"/>
      <c r="AK399" s="775"/>
      <c r="AL399" s="775"/>
      <c r="AM399" s="775"/>
      <c r="AN399" s="775"/>
      <c r="AO399" s="775"/>
      <c r="AP399" s="775"/>
    </row>
    <row r="400" spans="1:42" s="141" customFormat="1" ht="99.75" customHeight="1">
      <c r="A400" s="775" t="s">
        <v>1157</v>
      </c>
      <c r="B400" s="775" t="s">
        <v>1147</v>
      </c>
      <c r="C400" s="780">
        <v>44672</v>
      </c>
      <c r="D400" s="775" t="s">
        <v>212</v>
      </c>
      <c r="E400" s="766" t="s">
        <v>320</v>
      </c>
      <c r="F400" s="765" t="s">
        <v>1158</v>
      </c>
      <c r="G400" s="772" t="s">
        <v>201</v>
      </c>
      <c r="H400" s="757" t="s">
        <v>278</v>
      </c>
      <c r="I400" s="775" t="s">
        <v>1159</v>
      </c>
      <c r="J400" s="658">
        <f>VLOOKUP($I400,Prices!A:B,2,0)</f>
        <v>2</v>
      </c>
      <c r="K400" s="790">
        <f>VLOOKUP(I400,Prices!A:C,3,0)</f>
        <v>0</v>
      </c>
      <c r="L400" s="680" t="s">
        <v>224</v>
      </c>
      <c r="M400" s="680" t="s">
        <v>224</v>
      </c>
      <c r="N400" s="707" t="str">
        <f>VLOOKUP($I400,Prices!A:D,4,0)</f>
        <v>.</v>
      </c>
      <c r="O400" s="769" t="s">
        <v>194</v>
      </c>
      <c r="P400" s="793" t="s">
        <v>194</v>
      </c>
      <c r="Q400" s="772" t="str">
        <f>O400</f>
        <v>.</v>
      </c>
      <c r="R400" s="772" t="s">
        <v>194</v>
      </c>
      <c r="S400" s="792" t="s">
        <v>194</v>
      </c>
      <c r="T400" s="757" t="s">
        <v>298</v>
      </c>
      <c r="U400" s="756" t="s">
        <v>1160</v>
      </c>
      <c r="V400" s="756" t="s">
        <v>1161</v>
      </c>
      <c r="W400" s="756" t="s">
        <v>1162</v>
      </c>
      <c r="X400" s="766" t="s">
        <v>194</v>
      </c>
      <c r="Y400" s="759">
        <v>0</v>
      </c>
      <c r="Z400" s="757">
        <v>0</v>
      </c>
      <c r="AA400" s="762" t="s">
        <v>447</v>
      </c>
      <c r="AB400" s="775"/>
      <c r="AC400" s="775"/>
      <c r="AD400" s="775"/>
      <c r="AE400" s="775"/>
      <c r="AF400" s="775"/>
      <c r="AG400" s="775"/>
      <c r="AH400" s="775"/>
      <c r="AI400" s="775"/>
      <c r="AJ400" s="775"/>
      <c r="AK400" s="775"/>
      <c r="AL400" s="775"/>
      <c r="AM400" s="775"/>
      <c r="AN400" s="775"/>
      <c r="AO400" s="775"/>
      <c r="AP400" s="775"/>
    </row>
    <row r="401" spans="1:42" s="141" customFormat="1" ht="16.5" customHeight="1">
      <c r="A401" s="868" t="s">
        <v>1163</v>
      </c>
      <c r="B401" s="868" t="s">
        <v>1147</v>
      </c>
      <c r="C401" s="867">
        <v>44706</v>
      </c>
      <c r="D401" s="868" t="s">
        <v>212</v>
      </c>
      <c r="E401" s="868" t="s">
        <v>221</v>
      </c>
      <c r="F401" s="890" t="s">
        <v>1164</v>
      </c>
      <c r="G401" s="869">
        <v>15500000</v>
      </c>
      <c r="H401" s="870" t="s">
        <v>278</v>
      </c>
      <c r="I401" s="775" t="s">
        <v>252</v>
      </c>
      <c r="J401" s="658">
        <f>VLOOKUP($I401,Prices!A:B,2,0)</f>
        <v>4</v>
      </c>
      <c r="K401" s="790">
        <f>VLOOKUP(I401,Prices!A:C,3,0)</f>
        <v>0</v>
      </c>
      <c r="L401" s="788">
        <v>20</v>
      </c>
      <c r="M401" s="680">
        <v>20</v>
      </c>
      <c r="N401" s="647">
        <f>VLOOKUP($I401,Prices!A:D,4,0)</f>
        <v>300000</v>
      </c>
      <c r="O401" s="769">
        <f t="shared" ref="O401:O461" si="28">L401*N401</f>
        <v>6000000</v>
      </c>
      <c r="P401" s="793">
        <f t="shared" ref="P401:P462" si="29">$M401*$N401</f>
        <v>6000000</v>
      </c>
      <c r="Q401" s="869">
        <f>G401</f>
        <v>15500000</v>
      </c>
      <c r="R401" s="869">
        <f>Q401/VLOOKUP(H401, 'Currency Conversion'!B:C, 2, 0)</f>
        <v>15500000</v>
      </c>
      <c r="S401" s="885">
        <f>SUM(P401:P403)</f>
        <v>6000000</v>
      </c>
      <c r="T401" s="870" t="s">
        <v>298</v>
      </c>
      <c r="U401" s="854" t="s">
        <v>1165</v>
      </c>
      <c r="V401" s="854" t="s">
        <v>1166</v>
      </c>
      <c r="W401" s="854" t="s">
        <v>1167</v>
      </c>
      <c r="X401" s="924" t="s">
        <v>1168</v>
      </c>
      <c r="Y401" s="878">
        <v>0</v>
      </c>
      <c r="Z401" s="870">
        <v>0</v>
      </c>
      <c r="AA401" s="758" t="s">
        <v>1169</v>
      </c>
      <c r="AB401" s="775"/>
      <c r="AC401" s="775"/>
      <c r="AD401" s="775"/>
      <c r="AE401" s="775"/>
      <c r="AF401" s="775"/>
      <c r="AG401" s="775"/>
      <c r="AH401" s="775"/>
      <c r="AI401" s="775"/>
      <c r="AJ401" s="775"/>
      <c r="AK401" s="775"/>
      <c r="AL401" s="775"/>
      <c r="AM401" s="775"/>
      <c r="AN401" s="775"/>
      <c r="AO401" s="775"/>
      <c r="AP401" s="775"/>
    </row>
    <row r="402" spans="1:42" s="141" customFormat="1">
      <c r="A402" s="868"/>
      <c r="B402" s="868"/>
      <c r="C402" s="867"/>
      <c r="D402" s="868"/>
      <c r="E402" s="868"/>
      <c r="F402" s="890"/>
      <c r="G402" s="869"/>
      <c r="H402" s="870"/>
      <c r="I402" s="775" t="s">
        <v>838</v>
      </c>
      <c r="J402" s="658">
        <f>VLOOKUP($I402,Prices!A:B,2,0)</f>
        <v>1</v>
      </c>
      <c r="K402" s="790">
        <f>VLOOKUP(I402,Prices!A:C,3,0)</f>
        <v>0</v>
      </c>
      <c r="L402" s="788">
        <v>10</v>
      </c>
      <c r="M402" s="680" t="s">
        <v>194</v>
      </c>
      <c r="N402" s="707">
        <f>VLOOKUP($I402,Prices!A:D,4,0)</f>
        <v>60000</v>
      </c>
      <c r="O402" s="769">
        <f t="shared" si="28"/>
        <v>600000</v>
      </c>
      <c r="P402" s="793" t="s">
        <v>194</v>
      </c>
      <c r="Q402" s="869"/>
      <c r="R402" s="869"/>
      <c r="S402" s="885"/>
      <c r="T402" s="870"/>
      <c r="U402" s="854"/>
      <c r="V402" s="854"/>
      <c r="W402" s="854"/>
      <c r="X402" s="924"/>
      <c r="Y402" s="878"/>
      <c r="Z402" s="870"/>
      <c r="AA402" s="781" t="s">
        <v>194</v>
      </c>
      <c r="AB402" s="775"/>
      <c r="AC402" s="775"/>
      <c r="AD402" s="775"/>
      <c r="AE402" s="775"/>
      <c r="AF402" s="775"/>
      <c r="AG402" s="775"/>
      <c r="AH402" s="775"/>
      <c r="AI402" s="775"/>
      <c r="AJ402" s="775"/>
      <c r="AK402" s="775"/>
      <c r="AL402" s="775"/>
      <c r="AM402" s="775"/>
      <c r="AN402" s="775"/>
      <c r="AO402" s="775"/>
      <c r="AP402" s="775"/>
    </row>
    <row r="403" spans="1:42" s="141" customFormat="1">
      <c r="A403" s="868"/>
      <c r="B403" s="868"/>
      <c r="C403" s="867"/>
      <c r="D403" s="868"/>
      <c r="E403" s="868"/>
      <c r="F403" s="890"/>
      <c r="G403" s="869"/>
      <c r="H403" s="870"/>
      <c r="I403" s="775" t="s">
        <v>1170</v>
      </c>
      <c r="J403" s="658">
        <f>VLOOKUP($I403,Prices!A:B,2,0)</f>
        <v>1</v>
      </c>
      <c r="K403" s="790">
        <f>VLOOKUP(I403,Prices!A:C,3,0)</f>
        <v>0</v>
      </c>
      <c r="L403" s="788">
        <v>10</v>
      </c>
      <c r="M403" s="680" t="s">
        <v>194</v>
      </c>
      <c r="N403" s="647">
        <f>VLOOKUP($I403,Prices!A:D,4,0)</f>
        <v>32000</v>
      </c>
      <c r="O403" s="769">
        <f t="shared" si="28"/>
        <v>320000</v>
      </c>
      <c r="P403" s="793" t="s">
        <v>194</v>
      </c>
      <c r="Q403" s="869"/>
      <c r="R403" s="869"/>
      <c r="S403" s="885"/>
      <c r="T403" s="870"/>
      <c r="U403" s="854"/>
      <c r="V403" s="854"/>
      <c r="W403" s="854"/>
      <c r="X403" s="924"/>
      <c r="Y403" s="878"/>
      <c r="Z403" s="870"/>
      <c r="AA403" s="781" t="s">
        <v>194</v>
      </c>
      <c r="AB403" s="775"/>
      <c r="AC403" s="775"/>
      <c r="AD403" s="775"/>
      <c r="AE403" s="775"/>
      <c r="AF403" s="775"/>
      <c r="AG403" s="775"/>
      <c r="AH403" s="775"/>
      <c r="AI403" s="775"/>
      <c r="AJ403" s="775"/>
      <c r="AK403" s="775"/>
      <c r="AL403" s="775"/>
      <c r="AM403" s="775"/>
      <c r="AN403" s="775"/>
      <c r="AO403" s="775"/>
      <c r="AP403" s="775"/>
    </row>
    <row r="404" spans="1:42" s="141" customFormat="1" ht="78.75" customHeight="1">
      <c r="A404" s="775" t="s">
        <v>1171</v>
      </c>
      <c r="B404" s="775" t="s">
        <v>1147</v>
      </c>
      <c r="C404" s="780">
        <v>44615</v>
      </c>
      <c r="D404" s="775" t="s">
        <v>190</v>
      </c>
      <c r="E404" s="775" t="s">
        <v>1172</v>
      </c>
      <c r="F404" s="656" t="s">
        <v>1173</v>
      </c>
      <c r="G404" s="772">
        <v>1800000</v>
      </c>
      <c r="H404" s="757" t="s">
        <v>278</v>
      </c>
      <c r="I404" s="775" t="s">
        <v>194</v>
      </c>
      <c r="J404" s="658" t="str">
        <f>VLOOKUP($I404,Prices!A:B,2,0)</f>
        <v>.</v>
      </c>
      <c r="K404" s="790" t="s">
        <v>194</v>
      </c>
      <c r="L404" s="788" t="s">
        <v>194</v>
      </c>
      <c r="M404" s="651" t="s">
        <v>194</v>
      </c>
      <c r="N404" s="708" t="str">
        <f>VLOOKUP($I404,Prices!A:D,4,0)</f>
        <v>.</v>
      </c>
      <c r="O404" s="769" t="s">
        <v>194</v>
      </c>
      <c r="P404" s="793" t="s">
        <v>194</v>
      </c>
      <c r="Q404" s="772">
        <f t="shared" si="27"/>
        <v>1800000</v>
      </c>
      <c r="R404" s="769">
        <f>Q404/VLOOKUP(H404, 'Currency Conversion'!B:C, 2, 0)</f>
        <v>1800000</v>
      </c>
      <c r="S404" s="763" t="s">
        <v>194</v>
      </c>
      <c r="T404" s="759" t="s">
        <v>240</v>
      </c>
      <c r="U404" s="756" t="s">
        <v>1174</v>
      </c>
      <c r="V404" s="783" t="s">
        <v>194</v>
      </c>
      <c r="W404" s="783" t="s">
        <v>194</v>
      </c>
      <c r="X404" s="766" t="s">
        <v>194</v>
      </c>
      <c r="Y404" s="759">
        <v>0</v>
      </c>
      <c r="Z404" s="761">
        <v>0</v>
      </c>
      <c r="AA404" s="802" t="s">
        <v>194</v>
      </c>
      <c r="AB404" s="775"/>
      <c r="AC404" s="775"/>
      <c r="AD404" s="775"/>
      <c r="AE404" s="775"/>
      <c r="AF404" s="775"/>
      <c r="AG404" s="775"/>
      <c r="AH404" s="775"/>
      <c r="AI404" s="775"/>
      <c r="AJ404" s="775"/>
      <c r="AK404" s="775"/>
      <c r="AL404" s="775"/>
      <c r="AM404" s="775"/>
      <c r="AN404" s="775"/>
      <c r="AO404" s="775"/>
      <c r="AP404" s="775"/>
    </row>
    <row r="405" spans="1:42" s="141" customFormat="1" ht="85.5" customHeight="1">
      <c r="A405" s="775" t="s">
        <v>1175</v>
      </c>
      <c r="B405" s="775" t="s">
        <v>1147</v>
      </c>
      <c r="C405" s="780">
        <v>44620</v>
      </c>
      <c r="D405" s="775" t="s">
        <v>190</v>
      </c>
      <c r="E405" s="775" t="s">
        <v>199</v>
      </c>
      <c r="F405" s="773" t="s">
        <v>1176</v>
      </c>
      <c r="G405" s="772">
        <v>4000000</v>
      </c>
      <c r="H405" s="757" t="s">
        <v>278</v>
      </c>
      <c r="I405" s="775" t="s">
        <v>194</v>
      </c>
      <c r="J405" s="658" t="str">
        <f>VLOOKUP($I405,Prices!A:B,2,0)</f>
        <v>.</v>
      </c>
      <c r="K405" s="790" t="s">
        <v>194</v>
      </c>
      <c r="L405" s="680" t="s">
        <v>194</v>
      </c>
      <c r="M405" s="651" t="s">
        <v>194</v>
      </c>
      <c r="N405" s="647" t="str">
        <f>VLOOKUP($I405,Prices!A:D,4,0)</f>
        <v>.</v>
      </c>
      <c r="O405" s="769" t="s">
        <v>194</v>
      </c>
      <c r="P405" s="793" t="s">
        <v>194</v>
      </c>
      <c r="Q405" s="772">
        <f t="shared" si="27"/>
        <v>4000000</v>
      </c>
      <c r="R405" s="769">
        <f>Q405/VLOOKUP(H405, 'Currency Conversion'!B:C, 2, 0)</f>
        <v>4000000</v>
      </c>
      <c r="S405" s="763" t="s">
        <v>194</v>
      </c>
      <c r="T405" s="757" t="s">
        <v>298</v>
      </c>
      <c r="U405" s="756" t="s">
        <v>1177</v>
      </c>
      <c r="V405" s="773" t="s">
        <v>194</v>
      </c>
      <c r="W405" s="773" t="s">
        <v>194</v>
      </c>
      <c r="X405" s="784" t="s">
        <v>194</v>
      </c>
      <c r="Y405" s="759">
        <v>0</v>
      </c>
      <c r="Z405" s="761">
        <v>0</v>
      </c>
      <c r="AA405" s="802" t="s">
        <v>194</v>
      </c>
      <c r="AB405" s="775"/>
      <c r="AC405" s="775"/>
      <c r="AD405" s="775"/>
      <c r="AE405" s="775"/>
      <c r="AF405" s="775"/>
      <c r="AG405" s="775"/>
      <c r="AH405" s="775"/>
      <c r="AI405" s="775"/>
      <c r="AJ405" s="775"/>
      <c r="AK405" s="775"/>
      <c r="AL405" s="775"/>
      <c r="AM405" s="775"/>
      <c r="AN405" s="775"/>
      <c r="AO405" s="775"/>
      <c r="AP405" s="775"/>
    </row>
    <row r="406" spans="1:42" s="141" customFormat="1" ht="112.5" customHeight="1">
      <c r="A406" s="775" t="s">
        <v>1178</v>
      </c>
      <c r="B406" s="775" t="s">
        <v>1147</v>
      </c>
      <c r="C406" s="780" t="s">
        <v>1179</v>
      </c>
      <c r="D406" s="775" t="s">
        <v>190</v>
      </c>
      <c r="E406" s="775" t="s">
        <v>191</v>
      </c>
      <c r="F406" s="773" t="s">
        <v>1180</v>
      </c>
      <c r="G406" s="772">
        <v>34200000</v>
      </c>
      <c r="H406" s="757" t="s">
        <v>278</v>
      </c>
      <c r="I406" s="775" t="s">
        <v>194</v>
      </c>
      <c r="J406" s="658" t="str">
        <f>VLOOKUP($I406,Prices!A:B,2,0)</f>
        <v>.</v>
      </c>
      <c r="K406" s="790" t="s">
        <v>194</v>
      </c>
      <c r="L406" s="680" t="s">
        <v>194</v>
      </c>
      <c r="M406" s="651" t="s">
        <v>194</v>
      </c>
      <c r="N406" s="708" t="str">
        <f>VLOOKUP($I406,Prices!A:D,4,0)</f>
        <v>.</v>
      </c>
      <c r="O406" s="769" t="s">
        <v>194</v>
      </c>
      <c r="P406" s="793" t="s">
        <v>194</v>
      </c>
      <c r="Q406" s="772">
        <f t="shared" si="27"/>
        <v>34200000</v>
      </c>
      <c r="R406" s="769">
        <f>Q406/VLOOKUP(H406, 'Currency Conversion'!B:C, 2, 0)</f>
        <v>34200000</v>
      </c>
      <c r="S406" s="763" t="s">
        <v>194</v>
      </c>
      <c r="T406" s="757" t="s">
        <v>298</v>
      </c>
      <c r="U406" s="756" t="s">
        <v>309</v>
      </c>
      <c r="V406" s="773" t="s">
        <v>194</v>
      </c>
      <c r="W406" s="773" t="s">
        <v>194</v>
      </c>
      <c r="X406" s="784" t="s">
        <v>194</v>
      </c>
      <c r="Y406" s="759">
        <v>0</v>
      </c>
      <c r="Z406" s="761">
        <v>0</v>
      </c>
      <c r="AA406" s="802" t="s">
        <v>194</v>
      </c>
      <c r="AB406" s="775"/>
      <c r="AC406" s="775"/>
      <c r="AD406" s="775"/>
      <c r="AE406" s="775"/>
      <c r="AF406" s="775"/>
      <c r="AG406" s="775"/>
      <c r="AH406" s="775"/>
      <c r="AI406" s="775"/>
      <c r="AJ406" s="775"/>
      <c r="AK406" s="775"/>
      <c r="AL406" s="775"/>
      <c r="AM406" s="775"/>
      <c r="AN406" s="775"/>
      <c r="AO406" s="775"/>
      <c r="AP406" s="775"/>
    </row>
    <row r="407" spans="1:42" s="141" customFormat="1" ht="120.75" customHeight="1">
      <c r="A407" s="775" t="s">
        <v>1181</v>
      </c>
      <c r="B407" s="775" t="s">
        <v>1147</v>
      </c>
      <c r="C407" s="780">
        <v>44686</v>
      </c>
      <c r="D407" s="775" t="s">
        <v>190</v>
      </c>
      <c r="E407" s="775" t="s">
        <v>191</v>
      </c>
      <c r="F407" s="773" t="s">
        <v>1182</v>
      </c>
      <c r="G407" s="772">
        <v>2000000</v>
      </c>
      <c r="H407" s="757" t="s">
        <v>278</v>
      </c>
      <c r="I407" s="775" t="s">
        <v>194</v>
      </c>
      <c r="J407" s="658" t="str">
        <f>VLOOKUP($I407,Prices!A:B,2,0)</f>
        <v>.</v>
      </c>
      <c r="K407" s="790" t="s">
        <v>194</v>
      </c>
      <c r="L407" s="680" t="s">
        <v>194</v>
      </c>
      <c r="M407" s="788" t="s">
        <v>194</v>
      </c>
      <c r="N407" s="647" t="str">
        <f>VLOOKUP($I407,Prices!A:D,4,0)</f>
        <v>.</v>
      </c>
      <c r="O407" s="769" t="s">
        <v>194</v>
      </c>
      <c r="P407" s="793" t="s">
        <v>194</v>
      </c>
      <c r="Q407" s="772">
        <f t="shared" si="27"/>
        <v>2000000</v>
      </c>
      <c r="R407" s="772">
        <f>Q407/VLOOKUP(H407, 'Currency Conversion'!B:C, 2, 0)</f>
        <v>2000000</v>
      </c>
      <c r="S407" s="749" t="s">
        <v>194</v>
      </c>
      <c r="T407" s="757" t="s">
        <v>240</v>
      </c>
      <c r="U407" s="756" t="s">
        <v>312</v>
      </c>
      <c r="V407" s="773" t="s">
        <v>194</v>
      </c>
      <c r="W407" s="773" t="s">
        <v>194</v>
      </c>
      <c r="X407" s="784" t="s">
        <v>194</v>
      </c>
      <c r="Y407" s="759">
        <v>0</v>
      </c>
      <c r="Z407" s="757">
        <v>0</v>
      </c>
      <c r="AA407" s="799" t="s">
        <v>194</v>
      </c>
      <c r="AB407" s="775"/>
      <c r="AC407" s="775"/>
      <c r="AD407" s="775"/>
      <c r="AE407" s="775"/>
      <c r="AF407" s="775"/>
      <c r="AG407" s="775"/>
      <c r="AH407" s="775"/>
      <c r="AI407" s="775"/>
      <c r="AJ407" s="775"/>
      <c r="AK407" s="775"/>
      <c r="AL407" s="775"/>
      <c r="AM407" s="775"/>
      <c r="AN407" s="775"/>
      <c r="AO407" s="775"/>
      <c r="AP407" s="775"/>
    </row>
    <row r="408" spans="1:42" s="141" customFormat="1" ht="58.5" customHeight="1">
      <c r="A408" s="775" t="s">
        <v>1183</v>
      </c>
      <c r="B408" s="775" t="s">
        <v>1147</v>
      </c>
      <c r="C408" s="780">
        <v>44627</v>
      </c>
      <c r="D408" s="775" t="s">
        <v>292</v>
      </c>
      <c r="E408" s="775" t="s">
        <v>276</v>
      </c>
      <c r="F408" s="787" t="s">
        <v>1184</v>
      </c>
      <c r="G408" s="772">
        <v>5000000</v>
      </c>
      <c r="H408" s="757" t="s">
        <v>278</v>
      </c>
      <c r="I408" s="775" t="s">
        <v>194</v>
      </c>
      <c r="J408" s="658" t="str">
        <f>VLOOKUP($I408,Prices!A:B,2,0)</f>
        <v>.</v>
      </c>
      <c r="K408" s="790" t="s">
        <v>194</v>
      </c>
      <c r="L408" s="680" t="s">
        <v>194</v>
      </c>
      <c r="M408" s="651" t="s">
        <v>194</v>
      </c>
      <c r="N408" s="708" t="str">
        <f>VLOOKUP($I408,Prices!A:D,4,0)</f>
        <v>.</v>
      </c>
      <c r="O408" s="769" t="s">
        <v>194</v>
      </c>
      <c r="P408" s="793" t="s">
        <v>194</v>
      </c>
      <c r="Q408" s="772">
        <f>G408</f>
        <v>5000000</v>
      </c>
      <c r="R408" s="769">
        <f>Q408/VLOOKUP(H408, 'Currency Conversion'!B:C, 2, 0)</f>
        <v>5000000</v>
      </c>
      <c r="S408" s="763" t="s">
        <v>194</v>
      </c>
      <c r="T408" s="757" t="s">
        <v>240</v>
      </c>
      <c r="U408" s="756" t="s">
        <v>663</v>
      </c>
      <c r="V408" s="756" t="s">
        <v>1185</v>
      </c>
      <c r="W408" s="773" t="s">
        <v>194</v>
      </c>
      <c r="X408" s="784" t="s">
        <v>194</v>
      </c>
      <c r="Y408" s="759">
        <v>1</v>
      </c>
      <c r="Z408" s="761">
        <v>0</v>
      </c>
      <c r="AA408" s="802" t="s">
        <v>194</v>
      </c>
      <c r="AB408" s="775"/>
      <c r="AC408" s="775"/>
      <c r="AD408" s="775"/>
      <c r="AE408" s="775"/>
      <c r="AF408" s="775"/>
      <c r="AG408" s="775"/>
      <c r="AH408" s="775"/>
      <c r="AI408" s="775"/>
      <c r="AJ408" s="775"/>
      <c r="AK408" s="775"/>
      <c r="AL408" s="775"/>
      <c r="AM408" s="775"/>
      <c r="AN408" s="775"/>
      <c r="AO408" s="775"/>
      <c r="AP408" s="775"/>
    </row>
    <row r="409" spans="1:42" ht="15.95" customHeight="1">
      <c r="A409" s="879" t="s">
        <v>1186</v>
      </c>
      <c r="B409" s="879" t="s">
        <v>1187</v>
      </c>
      <c r="C409" s="906">
        <v>44620</v>
      </c>
      <c r="D409" s="879" t="s">
        <v>212</v>
      </c>
      <c r="E409" s="873" t="s">
        <v>213</v>
      </c>
      <c r="F409" s="884" t="s">
        <v>1188</v>
      </c>
      <c r="G409" s="916">
        <v>50000000</v>
      </c>
      <c r="H409" s="888" t="s">
        <v>278</v>
      </c>
      <c r="I409" s="767" t="s">
        <v>873</v>
      </c>
      <c r="J409" s="658">
        <f>VLOOKUP($I409,Prices!A:B,2,0)</f>
        <v>1</v>
      </c>
      <c r="K409" s="790">
        <f>VLOOKUP(I409,Prices!A:C,3,0)</f>
        <v>0</v>
      </c>
      <c r="L409" s="651">
        <v>15</v>
      </c>
      <c r="M409" s="651">
        <v>15</v>
      </c>
      <c r="N409" s="647">
        <f>VLOOKUP($I409,Prices!A:D,4,0)</f>
        <v>65</v>
      </c>
      <c r="O409" s="769">
        <f t="shared" si="28"/>
        <v>975</v>
      </c>
      <c r="P409" s="793">
        <f t="shared" si="29"/>
        <v>975</v>
      </c>
      <c r="Q409" s="877">
        <f>G409</f>
        <v>50000000</v>
      </c>
      <c r="R409" s="877">
        <f>Q409/VLOOKUP(H409, 'Currency Conversion'!B:C, 2, 0)</f>
        <v>50000000</v>
      </c>
      <c r="S409" s="891">
        <f>R409</f>
        <v>50000000</v>
      </c>
      <c r="T409" s="888" t="s">
        <v>195</v>
      </c>
      <c r="U409" s="854" t="s">
        <v>1189</v>
      </c>
      <c r="V409" s="854" t="s">
        <v>1190</v>
      </c>
      <c r="W409" s="854" t="s">
        <v>1191</v>
      </c>
      <c r="X409" s="880" t="s">
        <v>194</v>
      </c>
      <c r="Y409" s="878">
        <v>0</v>
      </c>
      <c r="Z409" s="888">
        <v>0</v>
      </c>
      <c r="AA409" s="899" t="s">
        <v>1192</v>
      </c>
      <c r="AB409" s="767"/>
      <c r="AC409" s="767"/>
      <c r="AD409" s="767"/>
      <c r="AE409" s="767"/>
      <c r="AF409" s="767"/>
      <c r="AG409" s="767"/>
      <c r="AH409" s="767"/>
      <c r="AI409" s="767"/>
      <c r="AJ409" s="767"/>
      <c r="AK409" s="767"/>
      <c r="AL409" s="767"/>
      <c r="AM409" s="767"/>
      <c r="AN409" s="767"/>
      <c r="AO409" s="767"/>
      <c r="AP409" s="767"/>
    </row>
    <row r="410" spans="1:42" ht="21" customHeight="1">
      <c r="A410" s="879"/>
      <c r="B410" s="879"/>
      <c r="C410" s="906"/>
      <c r="D410" s="879"/>
      <c r="E410" s="873"/>
      <c r="F410" s="884"/>
      <c r="G410" s="916"/>
      <c r="H410" s="888"/>
      <c r="I410" s="767" t="s">
        <v>1193</v>
      </c>
      <c r="J410" s="658">
        <f>VLOOKUP($I410,Prices!A:B,2,0)</f>
        <v>3</v>
      </c>
      <c r="K410" s="790">
        <f>VLOOKUP(I410,Prices!A:C,3,0)</f>
        <v>0</v>
      </c>
      <c r="L410" s="651">
        <v>100</v>
      </c>
      <c r="M410" s="651">
        <v>100</v>
      </c>
      <c r="N410" s="707">
        <f>VLOOKUP($I410,Prices!A:D,4,0)</f>
        <v>33000</v>
      </c>
      <c r="O410" s="769">
        <f t="shared" si="28"/>
        <v>3300000</v>
      </c>
      <c r="P410" s="793">
        <f t="shared" si="29"/>
        <v>3300000</v>
      </c>
      <c r="Q410" s="877"/>
      <c r="R410" s="877"/>
      <c r="S410" s="891"/>
      <c r="T410" s="888"/>
      <c r="U410" s="854"/>
      <c r="V410" s="854"/>
      <c r="W410" s="854"/>
      <c r="X410" s="880"/>
      <c r="Y410" s="878"/>
      <c r="Z410" s="888"/>
      <c r="AA410" s="899"/>
      <c r="AB410" s="767"/>
      <c r="AC410" s="767"/>
      <c r="AD410" s="767"/>
      <c r="AE410" s="767"/>
      <c r="AF410" s="767"/>
      <c r="AG410" s="767"/>
      <c r="AH410" s="767"/>
      <c r="AI410" s="767"/>
      <c r="AJ410" s="767"/>
      <c r="AK410" s="767"/>
      <c r="AL410" s="767"/>
      <c r="AM410" s="767"/>
      <c r="AN410" s="767"/>
      <c r="AO410" s="767"/>
      <c r="AP410" s="767"/>
    </row>
    <row r="411" spans="1:42" ht="23.1" customHeight="1">
      <c r="A411" s="879"/>
      <c r="B411" s="879"/>
      <c r="C411" s="906"/>
      <c r="D411" s="879"/>
      <c r="E411" s="873"/>
      <c r="F411" s="884"/>
      <c r="G411" s="916"/>
      <c r="H411" s="888"/>
      <c r="I411" s="767" t="s">
        <v>1194</v>
      </c>
      <c r="J411" s="658">
        <f>VLOOKUP($I411,Prices!A:B,2,0)</f>
        <v>1</v>
      </c>
      <c r="K411" s="790">
        <f>VLOOKUP(I411,Prices!A:C,3,0)</f>
        <v>0</v>
      </c>
      <c r="L411" s="788" t="s">
        <v>224</v>
      </c>
      <c r="M411" s="788" t="s">
        <v>224</v>
      </c>
      <c r="N411" s="647">
        <f>VLOOKUP($I411,Prices!A:D,4,0)</f>
        <v>32000</v>
      </c>
      <c r="O411" s="769" t="s">
        <v>194</v>
      </c>
      <c r="P411" s="793" t="s">
        <v>194</v>
      </c>
      <c r="Q411" s="877"/>
      <c r="R411" s="877"/>
      <c r="S411" s="891"/>
      <c r="T411" s="888"/>
      <c r="U411" s="854"/>
      <c r="V411" s="854"/>
      <c r="W411" s="854"/>
      <c r="X411" s="880"/>
      <c r="Y411" s="878"/>
      <c r="Z411" s="888"/>
      <c r="AA411" s="899"/>
      <c r="AB411" s="767"/>
      <c r="AC411" s="767"/>
      <c r="AD411" s="767"/>
      <c r="AE411" s="767"/>
      <c r="AF411" s="767"/>
      <c r="AG411" s="767"/>
      <c r="AH411" s="767"/>
      <c r="AI411" s="767"/>
      <c r="AJ411" s="767"/>
      <c r="AK411" s="767"/>
      <c r="AL411" s="767"/>
      <c r="AM411" s="767"/>
      <c r="AN411" s="767"/>
      <c r="AO411" s="767"/>
      <c r="AP411" s="767"/>
    </row>
    <row r="412" spans="1:42" s="141" customFormat="1" ht="26.25" customHeight="1">
      <c r="A412" s="879"/>
      <c r="B412" s="879"/>
      <c r="C412" s="867">
        <v>44648</v>
      </c>
      <c r="D412" s="879"/>
      <c r="E412" s="873"/>
      <c r="F412" s="884"/>
      <c r="G412" s="916"/>
      <c r="H412" s="888"/>
      <c r="I412" s="681" t="s">
        <v>348</v>
      </c>
      <c r="J412" s="658">
        <f>VLOOKUP($I412,Prices!A:B,2,0)</f>
        <v>1</v>
      </c>
      <c r="K412" s="790">
        <f>VLOOKUP(I412,Prices!A:C,3,0)</f>
        <v>0</v>
      </c>
      <c r="L412" s="788" t="s">
        <v>224</v>
      </c>
      <c r="M412" s="788" t="s">
        <v>224</v>
      </c>
      <c r="N412" s="708">
        <f>VLOOKUP($I412,Prices!A:D,4,0)</f>
        <v>500</v>
      </c>
      <c r="O412" s="769" t="s">
        <v>194</v>
      </c>
      <c r="P412" s="793" t="s">
        <v>194</v>
      </c>
      <c r="Q412" s="877"/>
      <c r="R412" s="877"/>
      <c r="S412" s="891"/>
      <c r="T412" s="870" t="s">
        <v>298</v>
      </c>
      <c r="U412" s="854"/>
      <c r="V412" s="854" t="s">
        <v>1192</v>
      </c>
      <c r="W412" s="890" t="s">
        <v>194</v>
      </c>
      <c r="X412" s="881" t="s">
        <v>194</v>
      </c>
      <c r="Y412" s="878"/>
      <c r="Z412" s="888"/>
      <c r="AA412" s="899"/>
      <c r="AB412" s="775"/>
      <c r="AC412" s="775"/>
      <c r="AD412" s="775"/>
      <c r="AE412" s="775"/>
      <c r="AF412" s="775"/>
      <c r="AG412" s="775"/>
      <c r="AH412" s="775"/>
      <c r="AI412" s="775"/>
      <c r="AJ412" s="775"/>
      <c r="AK412" s="775"/>
      <c r="AL412" s="775"/>
      <c r="AM412" s="775"/>
      <c r="AN412" s="775"/>
      <c r="AO412" s="775"/>
      <c r="AP412" s="775"/>
    </row>
    <row r="413" spans="1:42" s="141" customFormat="1" ht="23.25" customHeight="1">
      <c r="A413" s="879"/>
      <c r="B413" s="879"/>
      <c r="C413" s="867"/>
      <c r="D413" s="879"/>
      <c r="E413" s="873"/>
      <c r="F413" s="884"/>
      <c r="G413" s="916"/>
      <c r="H413" s="888"/>
      <c r="I413" s="681" t="s">
        <v>411</v>
      </c>
      <c r="J413" s="658">
        <f>VLOOKUP($I413,Prices!A:B,2,0)</f>
        <v>1</v>
      </c>
      <c r="K413" s="790">
        <f>VLOOKUP(I413,Prices!A:C,3,0)</f>
        <v>0</v>
      </c>
      <c r="L413" s="788" t="s">
        <v>224</v>
      </c>
      <c r="M413" s="788" t="s">
        <v>224</v>
      </c>
      <c r="N413" s="647">
        <f>VLOOKUP($I413,Prices!A:D,4,0)</f>
        <v>62.5</v>
      </c>
      <c r="O413" s="769" t="s">
        <v>194</v>
      </c>
      <c r="P413" s="793" t="s">
        <v>194</v>
      </c>
      <c r="Q413" s="877"/>
      <c r="R413" s="877"/>
      <c r="S413" s="891"/>
      <c r="T413" s="870"/>
      <c r="U413" s="854"/>
      <c r="V413" s="854"/>
      <c r="W413" s="890"/>
      <c r="X413" s="881"/>
      <c r="Y413" s="878"/>
      <c r="Z413" s="888"/>
      <c r="AA413" s="899"/>
      <c r="AB413" s="775"/>
      <c r="AC413" s="775"/>
      <c r="AD413" s="775"/>
      <c r="AE413" s="775"/>
      <c r="AF413" s="775"/>
      <c r="AG413" s="775"/>
      <c r="AH413" s="775"/>
      <c r="AI413" s="775"/>
      <c r="AJ413" s="775"/>
      <c r="AK413" s="775"/>
      <c r="AL413" s="775"/>
      <c r="AM413" s="775"/>
      <c r="AN413" s="775"/>
      <c r="AO413" s="775"/>
      <c r="AP413" s="775"/>
    </row>
    <row r="414" spans="1:42" s="141" customFormat="1" ht="51" customHeight="1">
      <c r="A414" s="775" t="s">
        <v>1195</v>
      </c>
      <c r="B414" s="775" t="s">
        <v>1187</v>
      </c>
      <c r="C414" s="780" t="s">
        <v>1196</v>
      </c>
      <c r="D414" s="775" t="s">
        <v>190</v>
      </c>
      <c r="E414" s="775" t="s">
        <v>199</v>
      </c>
      <c r="F414" s="773" t="s">
        <v>1197</v>
      </c>
      <c r="G414" s="777">
        <v>3000000</v>
      </c>
      <c r="H414" s="757" t="s">
        <v>278</v>
      </c>
      <c r="I414" s="775" t="s">
        <v>194</v>
      </c>
      <c r="J414" s="658" t="str">
        <f>VLOOKUP($I414,Prices!A:B,2,0)</f>
        <v>.</v>
      </c>
      <c r="K414" s="790" t="s">
        <v>194</v>
      </c>
      <c r="L414" s="788" t="s">
        <v>194</v>
      </c>
      <c r="M414" s="788" t="s">
        <v>194</v>
      </c>
      <c r="N414" s="707" t="s">
        <v>194</v>
      </c>
      <c r="O414" s="769" t="s">
        <v>194</v>
      </c>
      <c r="P414" s="793" t="s">
        <v>194</v>
      </c>
      <c r="Q414" s="772">
        <f>G414</f>
        <v>3000000</v>
      </c>
      <c r="R414" s="772">
        <f>Q414/VLOOKUP(H414, 'Currency Conversion'!B:C, 2, 0)</f>
        <v>3000000</v>
      </c>
      <c r="S414" s="749" t="s">
        <v>194</v>
      </c>
      <c r="T414" s="757" t="s">
        <v>240</v>
      </c>
      <c r="U414" s="756" t="s">
        <v>1198</v>
      </c>
      <c r="V414" s="756" t="s">
        <v>1199</v>
      </c>
      <c r="W414" s="773" t="s">
        <v>194</v>
      </c>
      <c r="X414" s="784" t="s">
        <v>194</v>
      </c>
      <c r="Y414" s="759">
        <v>0</v>
      </c>
      <c r="Z414" s="757">
        <v>0</v>
      </c>
      <c r="AA414" s="781" t="s">
        <v>194</v>
      </c>
      <c r="AB414" s="775"/>
      <c r="AC414" s="775"/>
      <c r="AD414" s="775"/>
      <c r="AE414" s="775"/>
      <c r="AF414" s="775"/>
      <c r="AG414" s="775"/>
      <c r="AH414" s="775"/>
      <c r="AI414" s="775"/>
      <c r="AJ414" s="775"/>
      <c r="AK414" s="775"/>
      <c r="AL414" s="775"/>
      <c r="AM414" s="775"/>
      <c r="AN414" s="775"/>
      <c r="AO414" s="775"/>
      <c r="AP414" s="775"/>
    </row>
    <row r="415" spans="1:42" s="141" customFormat="1" ht="51" customHeight="1">
      <c r="A415" s="775" t="s">
        <v>1200</v>
      </c>
      <c r="B415" s="775" t="s">
        <v>1187</v>
      </c>
      <c r="C415" s="780">
        <v>44636</v>
      </c>
      <c r="D415" s="775" t="s">
        <v>190</v>
      </c>
      <c r="E415" s="775" t="s">
        <v>199</v>
      </c>
      <c r="F415" s="773" t="s">
        <v>1201</v>
      </c>
      <c r="G415" s="777" t="s">
        <v>201</v>
      </c>
      <c r="H415" s="757" t="s">
        <v>194</v>
      </c>
      <c r="I415" s="775" t="s">
        <v>1202</v>
      </c>
      <c r="J415" s="658">
        <f>VLOOKUP($I415,Prices!A:B,2,0)</f>
        <v>0</v>
      </c>
      <c r="K415" s="790">
        <f>VLOOKUP(I415,Prices!A:C,3,0)</f>
        <v>0</v>
      </c>
      <c r="L415" s="788">
        <v>50</v>
      </c>
      <c r="M415" s="788" t="s">
        <v>194</v>
      </c>
      <c r="N415" s="647" t="str">
        <f>VLOOKUP($I415,Prices!A:D,4,0)</f>
        <v>.</v>
      </c>
      <c r="O415" s="769" t="s">
        <v>194</v>
      </c>
      <c r="P415" s="793" t="s">
        <v>194</v>
      </c>
      <c r="Q415" s="772" t="s">
        <v>194</v>
      </c>
      <c r="R415" s="772" t="s">
        <v>194</v>
      </c>
      <c r="S415" s="749" t="s">
        <v>194</v>
      </c>
      <c r="T415" s="757" t="s">
        <v>195</v>
      </c>
      <c r="U415" s="756" t="s">
        <v>1203</v>
      </c>
      <c r="V415" s="756" t="s">
        <v>1198</v>
      </c>
      <c r="W415" s="801" t="s">
        <v>194</v>
      </c>
      <c r="X415" s="775" t="s">
        <v>194</v>
      </c>
      <c r="Y415" s="759">
        <v>0</v>
      </c>
      <c r="Z415" s="757">
        <v>0</v>
      </c>
      <c r="AA415" s="781" t="s">
        <v>194</v>
      </c>
      <c r="AB415" s="775"/>
      <c r="AC415" s="775"/>
      <c r="AD415" s="775"/>
      <c r="AE415" s="775"/>
      <c r="AF415" s="775"/>
      <c r="AG415" s="775"/>
      <c r="AH415" s="775"/>
      <c r="AI415" s="775"/>
      <c r="AJ415" s="775"/>
      <c r="AK415" s="775"/>
      <c r="AL415" s="775"/>
      <c r="AM415" s="775"/>
      <c r="AN415" s="775"/>
      <c r="AO415" s="775"/>
      <c r="AP415" s="775"/>
    </row>
    <row r="416" spans="1:42" s="141" customFormat="1" ht="51" customHeight="1">
      <c r="A416" s="775" t="s">
        <v>1204</v>
      </c>
      <c r="B416" s="775" t="s">
        <v>1187</v>
      </c>
      <c r="C416" s="780">
        <v>44686</v>
      </c>
      <c r="D416" s="775" t="s">
        <v>190</v>
      </c>
      <c r="E416" s="775" t="s">
        <v>191</v>
      </c>
      <c r="F416" s="773" t="s">
        <v>1205</v>
      </c>
      <c r="G416" s="777">
        <v>1000000</v>
      </c>
      <c r="H416" s="757" t="s">
        <v>278</v>
      </c>
      <c r="I416" s="775" t="s">
        <v>194</v>
      </c>
      <c r="J416" s="658" t="str">
        <f>VLOOKUP($I416,Prices!A:B,2,0)</f>
        <v>.</v>
      </c>
      <c r="K416" s="790" t="s">
        <v>194</v>
      </c>
      <c r="L416" s="788" t="s">
        <v>194</v>
      </c>
      <c r="M416" s="788" t="s">
        <v>194</v>
      </c>
      <c r="N416" s="707" t="str">
        <f>VLOOKUP($I416,Prices!A:D,4,0)</f>
        <v>.</v>
      </c>
      <c r="O416" s="769" t="s">
        <v>194</v>
      </c>
      <c r="P416" s="793" t="s">
        <v>194</v>
      </c>
      <c r="Q416" s="772">
        <f>G416</f>
        <v>1000000</v>
      </c>
      <c r="R416" s="772">
        <f>Q416/VLOOKUP(H416, 'Currency Conversion'!B:C, 2, 0)</f>
        <v>1000000</v>
      </c>
      <c r="S416" s="749" t="s">
        <v>194</v>
      </c>
      <c r="T416" s="757" t="s">
        <v>195</v>
      </c>
      <c r="U416" s="756" t="s">
        <v>1198</v>
      </c>
      <c r="V416" s="773" t="s">
        <v>194</v>
      </c>
      <c r="W416" s="773" t="s">
        <v>194</v>
      </c>
      <c r="X416" s="784" t="s">
        <v>194</v>
      </c>
      <c r="Y416" s="759">
        <v>0</v>
      </c>
      <c r="Z416" s="757">
        <v>0</v>
      </c>
      <c r="AA416" s="781" t="s">
        <v>194</v>
      </c>
      <c r="AB416" s="775"/>
      <c r="AC416" s="775"/>
      <c r="AD416" s="775"/>
      <c r="AE416" s="775"/>
      <c r="AF416" s="775"/>
      <c r="AG416" s="775"/>
      <c r="AH416" s="775"/>
      <c r="AI416" s="775"/>
      <c r="AJ416" s="775"/>
      <c r="AK416" s="775"/>
      <c r="AL416" s="775"/>
      <c r="AM416" s="775"/>
      <c r="AN416" s="775"/>
      <c r="AO416" s="775"/>
      <c r="AP416" s="775"/>
    </row>
    <row r="417" spans="1:42" s="141" customFormat="1" ht="51" customHeight="1">
      <c r="A417" s="775" t="s">
        <v>1206</v>
      </c>
      <c r="B417" s="775" t="s">
        <v>1207</v>
      </c>
      <c r="C417" s="780">
        <v>44617</v>
      </c>
      <c r="D417" s="775" t="s">
        <v>190</v>
      </c>
      <c r="E417" s="775" t="s">
        <v>191</v>
      </c>
      <c r="F417" s="773" t="s">
        <v>1208</v>
      </c>
      <c r="G417" s="777" t="s">
        <v>201</v>
      </c>
      <c r="H417" s="757" t="s">
        <v>194</v>
      </c>
      <c r="I417" s="775" t="s">
        <v>194</v>
      </c>
      <c r="J417" s="658" t="str">
        <f>VLOOKUP($I417,Prices!A:B,2,0)</f>
        <v>.</v>
      </c>
      <c r="K417" s="790" t="s">
        <v>194</v>
      </c>
      <c r="L417" s="788" t="s">
        <v>194</v>
      </c>
      <c r="M417" s="651" t="s">
        <v>194</v>
      </c>
      <c r="N417" s="647" t="str">
        <f>VLOOKUP($I417,Prices!A:D,4,0)</f>
        <v>.</v>
      </c>
      <c r="O417" s="769" t="s">
        <v>194</v>
      </c>
      <c r="P417" s="793" t="s">
        <v>194</v>
      </c>
      <c r="Q417" s="772" t="s">
        <v>194</v>
      </c>
      <c r="R417" s="769" t="s">
        <v>194</v>
      </c>
      <c r="S417" s="763" t="s">
        <v>194</v>
      </c>
      <c r="T417" s="757" t="s">
        <v>298</v>
      </c>
      <c r="U417" s="756" t="s">
        <v>1209</v>
      </c>
      <c r="V417" s="756" t="s">
        <v>1210</v>
      </c>
      <c r="W417" s="773" t="s">
        <v>194</v>
      </c>
      <c r="X417" s="784" t="s">
        <v>194</v>
      </c>
      <c r="Y417" s="759">
        <v>0</v>
      </c>
      <c r="Z417" s="761">
        <v>0</v>
      </c>
      <c r="AA417" s="802" t="s">
        <v>194</v>
      </c>
      <c r="AB417" s="775"/>
      <c r="AC417" s="775"/>
      <c r="AD417" s="775"/>
      <c r="AE417" s="775"/>
      <c r="AF417" s="775"/>
      <c r="AG417" s="775"/>
      <c r="AH417" s="775"/>
      <c r="AI417" s="775"/>
      <c r="AJ417" s="775"/>
      <c r="AK417" s="775"/>
      <c r="AL417" s="775"/>
      <c r="AM417" s="775"/>
      <c r="AN417" s="775"/>
      <c r="AO417" s="775"/>
      <c r="AP417" s="775"/>
    </row>
    <row r="418" spans="1:42" ht="63" customHeight="1">
      <c r="A418" s="767" t="s">
        <v>1211</v>
      </c>
      <c r="B418" s="767" t="s">
        <v>1207</v>
      </c>
      <c r="C418" s="768">
        <v>44631</v>
      </c>
      <c r="D418" s="767" t="s">
        <v>190</v>
      </c>
      <c r="E418" s="767" t="s">
        <v>199</v>
      </c>
      <c r="F418" s="787" t="s">
        <v>1212</v>
      </c>
      <c r="G418" s="769">
        <v>1150000</v>
      </c>
      <c r="H418" s="761" t="s">
        <v>278</v>
      </c>
      <c r="I418" s="767" t="s">
        <v>194</v>
      </c>
      <c r="J418" s="658" t="str">
        <f>VLOOKUP($I418,Prices!A:B,2,0)</f>
        <v>.</v>
      </c>
      <c r="K418" s="790" t="s">
        <v>194</v>
      </c>
      <c r="L418" s="651" t="s">
        <v>194</v>
      </c>
      <c r="M418" s="651" t="s">
        <v>194</v>
      </c>
      <c r="N418" s="707" t="str">
        <f>VLOOKUP($I418,Prices!A:D,4,0)</f>
        <v>.</v>
      </c>
      <c r="O418" s="769" t="s">
        <v>194</v>
      </c>
      <c r="P418" s="793" t="s">
        <v>194</v>
      </c>
      <c r="Q418" s="769">
        <f>G418</f>
        <v>1150000</v>
      </c>
      <c r="R418" s="769">
        <f>Q418/VLOOKUP(H418, 'Currency Conversion'!B:C, 2, 0)</f>
        <v>1150000</v>
      </c>
      <c r="S418" s="763" t="s">
        <v>194</v>
      </c>
      <c r="T418" s="761" t="s">
        <v>195</v>
      </c>
      <c r="U418" s="756" t="s">
        <v>1213</v>
      </c>
      <c r="V418" s="756" t="s">
        <v>1209</v>
      </c>
      <c r="W418" s="787" t="s">
        <v>194</v>
      </c>
      <c r="X418" s="771" t="s">
        <v>194</v>
      </c>
      <c r="Y418" s="759">
        <v>0</v>
      </c>
      <c r="Z418" s="761">
        <v>0</v>
      </c>
      <c r="AA418" s="781" t="s">
        <v>194</v>
      </c>
      <c r="AB418" s="767"/>
      <c r="AC418" s="767"/>
      <c r="AD418" s="767"/>
      <c r="AE418" s="767"/>
      <c r="AF418" s="767"/>
      <c r="AG418" s="767"/>
      <c r="AH418" s="767"/>
      <c r="AI418" s="767"/>
      <c r="AJ418" s="767"/>
      <c r="AK418" s="767"/>
      <c r="AL418" s="767"/>
      <c r="AM418" s="767"/>
      <c r="AN418" s="767"/>
      <c r="AO418" s="767"/>
      <c r="AP418" s="767"/>
    </row>
    <row r="419" spans="1:42" s="141" customFormat="1" ht="19.5" customHeight="1">
      <c r="A419" s="868" t="s">
        <v>1214</v>
      </c>
      <c r="B419" s="868" t="s">
        <v>1215</v>
      </c>
      <c r="C419" s="867">
        <v>44610</v>
      </c>
      <c r="D419" s="868" t="s">
        <v>212</v>
      </c>
      <c r="E419" s="868" t="s">
        <v>213</v>
      </c>
      <c r="F419" s="884" t="s">
        <v>1216</v>
      </c>
      <c r="G419" s="875">
        <v>50000000</v>
      </c>
      <c r="H419" s="870" t="s">
        <v>278</v>
      </c>
      <c r="I419" s="775" t="s">
        <v>344</v>
      </c>
      <c r="J419" s="658">
        <f>VLOOKUP($I419,Prices!A:B,2,0)</f>
        <v>1</v>
      </c>
      <c r="K419" s="790">
        <f>VLOOKUP(I419,Prices!A:C,3,0)</f>
        <v>0</v>
      </c>
      <c r="L419" s="788">
        <v>3000</v>
      </c>
      <c r="M419" s="788">
        <v>3000</v>
      </c>
      <c r="N419" s="647">
        <f>VLOOKUP($I419,Prices!A:D,4,0)</f>
        <v>1400</v>
      </c>
      <c r="O419" s="769">
        <f t="shared" si="28"/>
        <v>4200000</v>
      </c>
      <c r="P419" s="793">
        <f t="shared" si="29"/>
        <v>4200000</v>
      </c>
      <c r="Q419" s="869">
        <f>G419</f>
        <v>50000000</v>
      </c>
      <c r="R419" s="877">
        <f>Q419/VLOOKUP(H419, 'Currency Conversion'!B:C, 2, 0)</f>
        <v>50000000</v>
      </c>
      <c r="S419" s="886">
        <f>R419</f>
        <v>50000000</v>
      </c>
      <c r="T419" s="878" t="s">
        <v>195</v>
      </c>
      <c r="U419" s="854" t="s">
        <v>1217</v>
      </c>
      <c r="V419" s="854" t="s">
        <v>1218</v>
      </c>
      <c r="W419" s="854" t="s">
        <v>1219</v>
      </c>
      <c r="X419" s="883" t="s">
        <v>1220</v>
      </c>
      <c r="Y419" s="888">
        <v>0</v>
      </c>
      <c r="Z419" s="888">
        <v>0</v>
      </c>
      <c r="AA419" s="897" t="s">
        <v>1217</v>
      </c>
      <c r="AB419" s="775"/>
      <c r="AC419" s="775"/>
      <c r="AD419" s="775"/>
      <c r="AE419" s="775"/>
      <c r="AF419" s="775"/>
      <c r="AG419" s="775"/>
      <c r="AH419" s="775"/>
      <c r="AI419" s="775"/>
      <c r="AJ419" s="775"/>
      <c r="AK419" s="775"/>
      <c r="AL419" s="775"/>
      <c r="AM419" s="775"/>
      <c r="AN419" s="775"/>
      <c r="AO419" s="775"/>
      <c r="AP419" s="775"/>
    </row>
    <row r="420" spans="1:42" s="141" customFormat="1" ht="18.75" customHeight="1">
      <c r="A420" s="868"/>
      <c r="B420" s="868"/>
      <c r="C420" s="867"/>
      <c r="D420" s="868"/>
      <c r="E420" s="868"/>
      <c r="F420" s="884"/>
      <c r="G420" s="875"/>
      <c r="H420" s="870"/>
      <c r="I420" s="775" t="s">
        <v>348</v>
      </c>
      <c r="J420" s="658">
        <f>VLOOKUP($I420,Prices!A:B,2,0)</f>
        <v>1</v>
      </c>
      <c r="K420" s="790">
        <f>VLOOKUP(I420,Prices!A:C,3,0)</f>
        <v>0</v>
      </c>
      <c r="L420" s="788">
        <v>2000</v>
      </c>
      <c r="M420" s="788">
        <v>2000</v>
      </c>
      <c r="N420" s="707">
        <f>VLOOKUP($I420,Prices!A:D,4,0)</f>
        <v>500</v>
      </c>
      <c r="O420" s="769">
        <f t="shared" si="28"/>
        <v>1000000</v>
      </c>
      <c r="P420" s="793">
        <f t="shared" si="29"/>
        <v>1000000</v>
      </c>
      <c r="Q420" s="869"/>
      <c r="R420" s="877"/>
      <c r="S420" s="886"/>
      <c r="T420" s="878"/>
      <c r="U420" s="854"/>
      <c r="V420" s="854"/>
      <c r="W420" s="854"/>
      <c r="X420" s="883"/>
      <c r="Y420" s="888"/>
      <c r="Z420" s="888"/>
      <c r="AA420" s="897"/>
      <c r="AB420" s="775"/>
      <c r="AC420" s="775"/>
      <c r="AD420" s="775"/>
      <c r="AE420" s="775"/>
      <c r="AF420" s="775"/>
      <c r="AG420" s="775"/>
      <c r="AH420" s="775"/>
      <c r="AI420" s="775"/>
      <c r="AJ420" s="775"/>
      <c r="AK420" s="775"/>
      <c r="AL420" s="775"/>
      <c r="AM420" s="775"/>
      <c r="AN420" s="775"/>
      <c r="AO420" s="775"/>
      <c r="AP420" s="775"/>
    </row>
    <row r="421" spans="1:42" s="141" customFormat="1" ht="18.75" customHeight="1">
      <c r="A421" s="868"/>
      <c r="B421" s="868"/>
      <c r="C421" s="867"/>
      <c r="D421" s="868"/>
      <c r="E421" s="868"/>
      <c r="F421" s="884"/>
      <c r="G421" s="875"/>
      <c r="H421" s="870"/>
      <c r="I421" s="775" t="s">
        <v>1221</v>
      </c>
      <c r="J421" s="658">
        <f>VLOOKUP($I421,Prices!A:B,2,0)</f>
        <v>1</v>
      </c>
      <c r="K421" s="790">
        <f>VLOOKUP(I421,Prices!A:C,3,0)</f>
        <v>0</v>
      </c>
      <c r="L421" s="788">
        <v>30</v>
      </c>
      <c r="M421" s="788">
        <v>30</v>
      </c>
      <c r="N421" s="647">
        <f>VLOOKUP($I421,Prices!A:D,4,0)</f>
        <v>1200</v>
      </c>
      <c r="O421" s="769">
        <f t="shared" si="28"/>
        <v>36000</v>
      </c>
      <c r="P421" s="793">
        <f t="shared" si="29"/>
        <v>36000</v>
      </c>
      <c r="Q421" s="869"/>
      <c r="R421" s="877"/>
      <c r="S421" s="886"/>
      <c r="T421" s="878"/>
      <c r="U421" s="854"/>
      <c r="V421" s="854"/>
      <c r="W421" s="854"/>
      <c r="X421" s="883"/>
      <c r="Y421" s="888"/>
      <c r="Z421" s="888"/>
      <c r="AA421" s="897"/>
      <c r="AB421" s="775"/>
      <c r="AC421" s="775"/>
      <c r="AD421" s="775"/>
      <c r="AE421" s="775"/>
      <c r="AF421" s="775"/>
      <c r="AG421" s="775"/>
      <c r="AH421" s="775"/>
      <c r="AI421" s="775"/>
      <c r="AJ421" s="775"/>
      <c r="AK421" s="775"/>
      <c r="AL421" s="775"/>
      <c r="AM421" s="775"/>
      <c r="AN421" s="775"/>
      <c r="AO421" s="775"/>
      <c r="AP421" s="775"/>
    </row>
    <row r="422" spans="1:42" s="141" customFormat="1" ht="15.95" customHeight="1">
      <c r="A422" s="868"/>
      <c r="B422" s="868"/>
      <c r="C422" s="867"/>
      <c r="D422" s="868"/>
      <c r="E422" s="868"/>
      <c r="F422" s="884"/>
      <c r="G422" s="875"/>
      <c r="H422" s="870"/>
      <c r="I422" s="775" t="s">
        <v>1222</v>
      </c>
      <c r="J422" s="658">
        <f>VLOOKUP($I422,Prices!A:B,2,0)</f>
        <v>1</v>
      </c>
      <c r="K422" s="790">
        <f>VLOOKUP(I422,Prices!A:C,3,0)</f>
        <v>0</v>
      </c>
      <c r="L422" s="788">
        <v>2</v>
      </c>
      <c r="M422" s="788">
        <v>2</v>
      </c>
      <c r="N422" s="708" t="str">
        <f>VLOOKUP($I422,Prices!A:D,4,0)</f>
        <v>.</v>
      </c>
      <c r="O422" s="769" t="s">
        <v>194</v>
      </c>
      <c r="P422" s="793" t="s">
        <v>194</v>
      </c>
      <c r="Q422" s="869"/>
      <c r="R422" s="877"/>
      <c r="S422" s="886"/>
      <c r="T422" s="878"/>
      <c r="U422" s="854"/>
      <c r="V422" s="854"/>
      <c r="W422" s="854"/>
      <c r="X422" s="883"/>
      <c r="Y422" s="888"/>
      <c r="Z422" s="888"/>
      <c r="AA422" s="897"/>
      <c r="AB422" s="775"/>
      <c r="AC422" s="775"/>
      <c r="AD422" s="775"/>
      <c r="AE422" s="775"/>
      <c r="AF422" s="775"/>
      <c r="AG422" s="775"/>
      <c r="AH422" s="775"/>
      <c r="AI422" s="775"/>
      <c r="AJ422" s="775"/>
      <c r="AK422" s="775"/>
      <c r="AL422" s="775"/>
      <c r="AM422" s="775"/>
      <c r="AN422" s="775"/>
      <c r="AO422" s="775"/>
      <c r="AP422" s="775"/>
    </row>
    <row r="423" spans="1:42" s="141" customFormat="1" ht="15.95" customHeight="1">
      <c r="A423" s="868"/>
      <c r="B423" s="868"/>
      <c r="C423" s="867"/>
      <c r="D423" s="868"/>
      <c r="E423" s="868"/>
      <c r="F423" s="884"/>
      <c r="G423" s="875"/>
      <c r="H423" s="870"/>
      <c r="I423" s="775" t="s">
        <v>1223</v>
      </c>
      <c r="J423" s="658">
        <f>VLOOKUP($I423,Prices!A:B,2,0)</f>
        <v>1</v>
      </c>
      <c r="K423" s="790">
        <f>VLOOKUP(I423,Prices!A:C,3,0)</f>
        <v>0</v>
      </c>
      <c r="L423" s="788">
        <v>2</v>
      </c>
      <c r="M423" s="788">
        <v>2</v>
      </c>
      <c r="N423" s="647">
        <f>VLOOKUP($I423,Prices!A:D,4,0)</f>
        <v>25000</v>
      </c>
      <c r="O423" s="769">
        <f t="shared" si="28"/>
        <v>50000</v>
      </c>
      <c r="P423" s="793">
        <f t="shared" si="29"/>
        <v>50000</v>
      </c>
      <c r="Q423" s="869"/>
      <c r="R423" s="877"/>
      <c r="S423" s="886"/>
      <c r="T423" s="878"/>
      <c r="U423" s="854"/>
      <c r="V423" s="854"/>
      <c r="W423" s="854"/>
      <c r="X423" s="883"/>
      <c r="Y423" s="888"/>
      <c r="Z423" s="888"/>
      <c r="AA423" s="897"/>
      <c r="AB423" s="775"/>
      <c r="AC423" s="775"/>
      <c r="AD423" s="775"/>
      <c r="AE423" s="775"/>
      <c r="AF423" s="775"/>
      <c r="AG423" s="775"/>
      <c r="AH423" s="775"/>
      <c r="AI423" s="775"/>
      <c r="AJ423" s="775"/>
      <c r="AK423" s="775"/>
      <c r="AL423" s="775"/>
      <c r="AM423" s="775"/>
      <c r="AN423" s="775"/>
      <c r="AO423" s="775"/>
      <c r="AP423" s="775"/>
    </row>
    <row r="424" spans="1:42" s="141" customFormat="1" ht="15.75" customHeight="1">
      <c r="A424" s="868"/>
      <c r="B424" s="868"/>
      <c r="C424" s="867"/>
      <c r="D424" s="868"/>
      <c r="E424" s="868"/>
      <c r="F424" s="884"/>
      <c r="G424" s="875"/>
      <c r="H424" s="870"/>
      <c r="I424" s="775" t="s">
        <v>1224</v>
      </c>
      <c r="J424" s="658">
        <f>VLOOKUP($I424,Prices!A:B,2,0)</f>
        <v>1</v>
      </c>
      <c r="K424" s="790">
        <f>VLOOKUP(I424,Prices!A:C,3,0)</f>
        <v>0</v>
      </c>
      <c r="L424" s="788">
        <v>5</v>
      </c>
      <c r="M424" s="788">
        <v>5</v>
      </c>
      <c r="N424" s="708" t="str">
        <f>VLOOKUP($I424,Prices!A:D,4,0)</f>
        <v>.</v>
      </c>
      <c r="O424" s="769" t="s">
        <v>194</v>
      </c>
      <c r="P424" s="793" t="s">
        <v>194</v>
      </c>
      <c r="Q424" s="869"/>
      <c r="R424" s="877"/>
      <c r="S424" s="886"/>
      <c r="T424" s="878"/>
      <c r="U424" s="854"/>
      <c r="V424" s="854"/>
      <c r="W424" s="854"/>
      <c r="X424" s="883"/>
      <c r="Y424" s="888"/>
      <c r="Z424" s="888"/>
      <c r="AA424" s="897"/>
      <c r="AB424" s="775"/>
      <c r="AC424" s="775"/>
      <c r="AD424" s="775"/>
      <c r="AE424" s="775"/>
      <c r="AF424" s="775"/>
      <c r="AG424" s="775"/>
      <c r="AH424" s="775"/>
      <c r="AI424" s="775"/>
      <c r="AJ424" s="775"/>
      <c r="AK424" s="775"/>
      <c r="AL424" s="775"/>
      <c r="AM424" s="775"/>
      <c r="AN424" s="775"/>
      <c r="AO424" s="775"/>
      <c r="AP424" s="775"/>
    </row>
    <row r="425" spans="1:42" s="141" customFormat="1" ht="17.100000000000001" customHeight="1">
      <c r="A425" s="868"/>
      <c r="B425" s="868"/>
      <c r="C425" s="867"/>
      <c r="D425" s="868"/>
      <c r="E425" s="868"/>
      <c r="F425" s="884"/>
      <c r="G425" s="875"/>
      <c r="H425" s="870"/>
      <c r="I425" s="775" t="s">
        <v>1225</v>
      </c>
      <c r="J425" s="658">
        <f>VLOOKUP($I425,Prices!A:B,2,0)</f>
        <v>2</v>
      </c>
      <c r="K425" s="790">
        <f>VLOOKUP(I425,Prices!A:C,3,0)</f>
        <v>0</v>
      </c>
      <c r="L425" s="788">
        <v>100</v>
      </c>
      <c r="M425" s="788">
        <v>100</v>
      </c>
      <c r="N425" s="647">
        <f>VLOOKUP($I425,Prices!A:D,4,0)</f>
        <v>8900</v>
      </c>
      <c r="O425" s="769">
        <f t="shared" si="28"/>
        <v>890000</v>
      </c>
      <c r="P425" s="793">
        <f t="shared" si="29"/>
        <v>890000</v>
      </c>
      <c r="Q425" s="869"/>
      <c r="R425" s="877"/>
      <c r="S425" s="886"/>
      <c r="T425" s="878"/>
      <c r="U425" s="854"/>
      <c r="V425" s="854"/>
      <c r="W425" s="854"/>
      <c r="X425" s="883"/>
      <c r="Y425" s="888"/>
      <c r="Z425" s="888"/>
      <c r="AA425" s="897"/>
      <c r="AB425" s="775"/>
      <c r="AC425" s="775"/>
      <c r="AD425" s="775"/>
      <c r="AE425" s="775"/>
      <c r="AF425" s="775"/>
      <c r="AG425" s="775"/>
      <c r="AH425" s="775"/>
      <c r="AI425" s="775"/>
      <c r="AJ425" s="775"/>
      <c r="AK425" s="775"/>
      <c r="AL425" s="775"/>
      <c r="AM425" s="775"/>
      <c r="AN425" s="775"/>
      <c r="AO425" s="775"/>
      <c r="AP425" s="775"/>
    </row>
    <row r="426" spans="1:42" s="141" customFormat="1" ht="15.75" customHeight="1">
      <c r="A426" s="868"/>
      <c r="B426" s="868"/>
      <c r="C426" s="867"/>
      <c r="D426" s="868"/>
      <c r="E426" s="868"/>
      <c r="F426" s="884"/>
      <c r="G426" s="875"/>
      <c r="H426" s="870"/>
      <c r="I426" s="772" t="s">
        <v>1226</v>
      </c>
      <c r="J426" s="658">
        <f>VLOOKUP($I426,Prices!A:B,2,0)</f>
        <v>2.5</v>
      </c>
      <c r="K426" s="790">
        <f>VLOOKUP(I426,Prices!A:C,3,0)</f>
        <v>0</v>
      </c>
      <c r="L426" s="788">
        <v>30000</v>
      </c>
      <c r="M426" s="788">
        <v>30000</v>
      </c>
      <c r="N426" s="708">
        <f>VLOOKUP($I426,Prices!A:D,4,0)</f>
        <v>0.65</v>
      </c>
      <c r="O426" s="769">
        <f t="shared" si="28"/>
        <v>19500</v>
      </c>
      <c r="P426" s="793">
        <f t="shared" si="29"/>
        <v>19500</v>
      </c>
      <c r="Q426" s="869"/>
      <c r="R426" s="877"/>
      <c r="S426" s="886"/>
      <c r="T426" s="878"/>
      <c r="U426" s="854"/>
      <c r="V426" s="854"/>
      <c r="W426" s="854"/>
      <c r="X426" s="883"/>
      <c r="Y426" s="888"/>
      <c r="Z426" s="888"/>
      <c r="AA426" s="897"/>
      <c r="AB426" s="775"/>
      <c r="AC426" s="775"/>
      <c r="AD426" s="775"/>
      <c r="AE426" s="775"/>
      <c r="AF426" s="775"/>
      <c r="AG426" s="775"/>
      <c r="AH426" s="775"/>
      <c r="AI426" s="775"/>
      <c r="AJ426" s="775"/>
      <c r="AK426" s="775"/>
      <c r="AL426" s="775"/>
      <c r="AM426" s="775"/>
      <c r="AN426" s="775"/>
      <c r="AO426" s="775"/>
      <c r="AP426" s="775"/>
    </row>
    <row r="427" spans="1:42" s="141" customFormat="1" ht="15.75" customHeight="1">
      <c r="A427" s="868"/>
      <c r="B427" s="868"/>
      <c r="C427" s="906">
        <v>44618</v>
      </c>
      <c r="D427" s="868"/>
      <c r="E427" s="879" t="s">
        <v>213</v>
      </c>
      <c r="F427" s="884" t="s">
        <v>1227</v>
      </c>
      <c r="G427" s="875"/>
      <c r="H427" s="870"/>
      <c r="I427" s="772" t="s">
        <v>644</v>
      </c>
      <c r="J427" s="658">
        <f>VLOOKUP($I427,Prices!A:B,2,0)</f>
        <v>3</v>
      </c>
      <c r="K427" s="790">
        <f>VLOOKUP(I427,Prices!A:C,3,0)</f>
        <v>0</v>
      </c>
      <c r="L427" s="651">
        <v>50</v>
      </c>
      <c r="M427" s="651">
        <v>50</v>
      </c>
      <c r="N427" s="647">
        <f>VLOOKUP($I427,Prices!A:D,4,0)</f>
        <v>119000</v>
      </c>
      <c r="O427" s="769">
        <f t="shared" si="28"/>
        <v>5950000</v>
      </c>
      <c r="P427" s="793">
        <f t="shared" si="29"/>
        <v>5950000</v>
      </c>
      <c r="Q427" s="869"/>
      <c r="R427" s="877"/>
      <c r="S427" s="886"/>
      <c r="T427" s="878" t="s">
        <v>240</v>
      </c>
      <c r="U427" s="854"/>
      <c r="V427" s="854" t="s">
        <v>1228</v>
      </c>
      <c r="W427" s="854" t="s">
        <v>1229</v>
      </c>
      <c r="X427" s="883" t="s">
        <v>1230</v>
      </c>
      <c r="Y427" s="888"/>
      <c r="Z427" s="888"/>
      <c r="AA427" s="897"/>
      <c r="AB427" s="775"/>
      <c r="AC427" s="775"/>
      <c r="AD427" s="775"/>
      <c r="AE427" s="775"/>
      <c r="AF427" s="775"/>
      <c r="AG427" s="775"/>
      <c r="AH427" s="775"/>
      <c r="AI427" s="775"/>
      <c r="AJ427" s="775"/>
      <c r="AK427" s="775"/>
      <c r="AL427" s="775"/>
      <c r="AM427" s="775"/>
      <c r="AN427" s="775"/>
      <c r="AO427" s="775"/>
      <c r="AP427" s="775"/>
    </row>
    <row r="428" spans="1:42" ht="15" customHeight="1">
      <c r="A428" s="868"/>
      <c r="B428" s="868"/>
      <c r="C428" s="906"/>
      <c r="D428" s="868"/>
      <c r="E428" s="879"/>
      <c r="F428" s="884"/>
      <c r="G428" s="875"/>
      <c r="H428" s="870"/>
      <c r="I428" s="767" t="s">
        <v>961</v>
      </c>
      <c r="J428" s="658">
        <f>VLOOKUP($I428,Prices!A:B,2,0)</f>
        <v>3.5</v>
      </c>
      <c r="K428" s="790">
        <f>VLOOKUP(I428,Prices!A:C,3,0)</f>
        <v>0</v>
      </c>
      <c r="L428" s="651">
        <v>200</v>
      </c>
      <c r="M428" s="651">
        <v>200</v>
      </c>
      <c r="N428" s="707">
        <f>VLOOKUP($I428,Prices!A:D,4,0)</f>
        <v>119000</v>
      </c>
      <c r="O428" s="769">
        <f t="shared" si="28"/>
        <v>23800000</v>
      </c>
      <c r="P428" s="793">
        <f t="shared" si="29"/>
        <v>23800000</v>
      </c>
      <c r="Q428" s="869"/>
      <c r="R428" s="877"/>
      <c r="S428" s="886"/>
      <c r="T428" s="878"/>
      <c r="U428" s="854"/>
      <c r="V428" s="854"/>
      <c r="W428" s="854"/>
      <c r="X428" s="883"/>
      <c r="Y428" s="888"/>
      <c r="Z428" s="888"/>
      <c r="AA428" s="897"/>
      <c r="AB428" s="767"/>
      <c r="AC428" s="767"/>
      <c r="AD428" s="767"/>
      <c r="AE428" s="767"/>
      <c r="AF428" s="767"/>
      <c r="AG428" s="767"/>
      <c r="AH428" s="767"/>
      <c r="AI428" s="767"/>
      <c r="AJ428" s="767"/>
      <c r="AK428" s="767"/>
      <c r="AL428" s="767"/>
      <c r="AM428" s="767"/>
      <c r="AN428" s="767"/>
      <c r="AO428" s="767"/>
      <c r="AP428" s="767"/>
    </row>
    <row r="429" spans="1:42" ht="20.100000000000001" customHeight="1">
      <c r="A429" s="868"/>
      <c r="B429" s="868"/>
      <c r="C429" s="906"/>
      <c r="D429" s="868"/>
      <c r="E429" s="879"/>
      <c r="F429" s="884"/>
      <c r="G429" s="875"/>
      <c r="H429" s="870"/>
      <c r="I429" s="767" t="s">
        <v>860</v>
      </c>
      <c r="J429" s="658">
        <f>VLOOKUP($I429,Prices!A:B,2,0)</f>
        <v>3</v>
      </c>
      <c r="K429" s="790">
        <f>VLOOKUP(I429,Prices!A:C,3,0)</f>
        <v>0</v>
      </c>
      <c r="L429" s="651">
        <v>50</v>
      </c>
      <c r="M429" s="651">
        <v>50</v>
      </c>
      <c r="N429" s="647">
        <f>VLOOKUP($I429,Prices!A:D,4,0)</f>
        <v>10000</v>
      </c>
      <c r="O429" s="769">
        <f t="shared" si="28"/>
        <v>500000</v>
      </c>
      <c r="P429" s="793">
        <f t="shared" si="29"/>
        <v>500000</v>
      </c>
      <c r="Q429" s="869"/>
      <c r="R429" s="877"/>
      <c r="S429" s="886"/>
      <c r="T429" s="878"/>
      <c r="U429" s="854"/>
      <c r="V429" s="854"/>
      <c r="W429" s="854"/>
      <c r="X429" s="883"/>
      <c r="Y429" s="888"/>
      <c r="Z429" s="888"/>
      <c r="AA429" s="897"/>
      <c r="AB429" s="767"/>
      <c r="AC429" s="767"/>
      <c r="AD429" s="767"/>
      <c r="AE429" s="767"/>
      <c r="AF429" s="767"/>
      <c r="AG429" s="767"/>
      <c r="AH429" s="767"/>
      <c r="AI429" s="767"/>
      <c r="AJ429" s="767"/>
      <c r="AK429" s="767"/>
      <c r="AL429" s="767"/>
      <c r="AM429" s="767"/>
      <c r="AN429" s="767"/>
      <c r="AO429" s="767"/>
      <c r="AP429" s="767"/>
    </row>
    <row r="430" spans="1:42" ht="19.5" customHeight="1">
      <c r="A430" s="868"/>
      <c r="B430" s="868"/>
      <c r="C430" s="906"/>
      <c r="D430" s="868"/>
      <c r="E430" s="879"/>
      <c r="F430" s="884"/>
      <c r="G430" s="875"/>
      <c r="H430" s="870"/>
      <c r="I430" s="767" t="s">
        <v>1231</v>
      </c>
      <c r="J430" s="658">
        <f>VLOOKUP($I430,Prices!A:B,2,0)</f>
        <v>3.5</v>
      </c>
      <c r="K430" s="790">
        <f>VLOOKUP(I430,Prices!A:C,3,0)</f>
        <v>0</v>
      </c>
      <c r="L430" s="651">
        <v>400</v>
      </c>
      <c r="M430" s="651">
        <v>400</v>
      </c>
      <c r="N430" s="707">
        <f>VLOOKUP($I430,Prices!A:D,4,0)</f>
        <v>250</v>
      </c>
      <c r="O430" s="769">
        <f t="shared" si="28"/>
        <v>100000</v>
      </c>
      <c r="P430" s="793">
        <f t="shared" si="29"/>
        <v>100000</v>
      </c>
      <c r="Q430" s="869"/>
      <c r="R430" s="877"/>
      <c r="S430" s="886"/>
      <c r="T430" s="878"/>
      <c r="U430" s="854"/>
      <c r="V430" s="854"/>
      <c r="W430" s="854"/>
      <c r="X430" s="883"/>
      <c r="Y430" s="888"/>
      <c r="Z430" s="888"/>
      <c r="AA430" s="897"/>
      <c r="AB430" s="767"/>
      <c r="AC430" s="767"/>
      <c r="AD430" s="767"/>
      <c r="AE430" s="767"/>
      <c r="AF430" s="767"/>
      <c r="AG430" s="767"/>
      <c r="AH430" s="767"/>
      <c r="AI430" s="767"/>
      <c r="AJ430" s="767"/>
      <c r="AK430" s="767"/>
      <c r="AL430" s="767"/>
      <c r="AM430" s="767"/>
      <c r="AN430" s="767"/>
      <c r="AO430" s="767"/>
      <c r="AP430" s="767"/>
    </row>
    <row r="431" spans="1:42" ht="19.5" customHeight="1">
      <c r="A431" s="868"/>
      <c r="B431" s="868"/>
      <c r="C431" s="780">
        <v>44636</v>
      </c>
      <c r="D431" s="868"/>
      <c r="E431" s="775" t="s">
        <v>320</v>
      </c>
      <c r="F431" s="773" t="s">
        <v>1232</v>
      </c>
      <c r="G431" s="875"/>
      <c r="H431" s="870"/>
      <c r="I431" s="775" t="s">
        <v>194</v>
      </c>
      <c r="J431" s="658" t="str">
        <f>VLOOKUP($I431,Prices!A:B,2,0)</f>
        <v>.</v>
      </c>
      <c r="K431" s="790" t="s">
        <v>194</v>
      </c>
      <c r="L431" s="788" t="s">
        <v>194</v>
      </c>
      <c r="M431" s="788"/>
      <c r="N431" s="647" t="str">
        <f>VLOOKUP($I431,Prices!A:D,4,0)</f>
        <v>.</v>
      </c>
      <c r="O431" s="769" t="s">
        <v>194</v>
      </c>
      <c r="P431" s="793" t="s">
        <v>194</v>
      </c>
      <c r="Q431" s="869"/>
      <c r="R431" s="877"/>
      <c r="S431" s="886"/>
      <c r="T431" s="757" t="s">
        <v>195</v>
      </c>
      <c r="U431" s="854"/>
      <c r="V431" s="756" t="s">
        <v>1233</v>
      </c>
      <c r="W431" s="801" t="s">
        <v>194</v>
      </c>
      <c r="X431" s="779"/>
      <c r="Y431" s="888"/>
      <c r="Z431" s="888"/>
      <c r="AA431" s="897"/>
      <c r="AB431" s="767"/>
      <c r="AC431" s="767"/>
      <c r="AD431" s="767"/>
      <c r="AE431" s="767"/>
      <c r="AF431" s="767"/>
      <c r="AG431" s="767"/>
      <c r="AH431" s="767"/>
      <c r="AI431" s="767"/>
      <c r="AJ431" s="767"/>
      <c r="AK431" s="767"/>
      <c r="AL431" s="767"/>
      <c r="AM431" s="767"/>
      <c r="AN431" s="767"/>
      <c r="AO431" s="767"/>
      <c r="AP431" s="767"/>
    </row>
    <row r="432" spans="1:42" ht="19.5" customHeight="1">
      <c r="A432" s="868"/>
      <c r="B432" s="868"/>
      <c r="C432" s="768">
        <v>44670</v>
      </c>
      <c r="D432" s="868"/>
      <c r="E432" s="767" t="s">
        <v>221</v>
      </c>
      <c r="F432" s="787" t="s">
        <v>1234</v>
      </c>
      <c r="G432" s="875"/>
      <c r="H432" s="870"/>
      <c r="I432" s="767" t="s">
        <v>1235</v>
      </c>
      <c r="J432" s="658">
        <f>VLOOKUP($I432,Prices!A:B,2,0)</f>
        <v>4</v>
      </c>
      <c r="K432" s="790">
        <f>VLOOKUP(I432,Prices!A:C,3,0)</f>
        <v>0</v>
      </c>
      <c r="L432" s="651" t="s">
        <v>224</v>
      </c>
      <c r="M432" s="651" t="s">
        <v>224</v>
      </c>
      <c r="N432" s="707" t="s">
        <v>194</v>
      </c>
      <c r="O432" s="769" t="s">
        <v>194</v>
      </c>
      <c r="P432" s="793" t="s">
        <v>194</v>
      </c>
      <c r="Q432" s="869"/>
      <c r="R432" s="877"/>
      <c r="S432" s="886"/>
      <c r="T432" s="759"/>
      <c r="U432" s="854"/>
      <c r="V432" s="756" t="s">
        <v>1236</v>
      </c>
      <c r="W432" s="756" t="s">
        <v>1237</v>
      </c>
      <c r="X432" s="779" t="s">
        <v>194</v>
      </c>
      <c r="Y432" s="888"/>
      <c r="Z432" s="888"/>
      <c r="AA432" s="758" t="s">
        <v>1238</v>
      </c>
      <c r="AB432" s="767"/>
      <c r="AC432" s="767"/>
      <c r="AD432" s="767"/>
      <c r="AE432" s="767"/>
      <c r="AF432" s="767"/>
      <c r="AG432" s="767"/>
      <c r="AH432" s="767"/>
      <c r="AI432" s="767"/>
      <c r="AJ432" s="767"/>
      <c r="AK432" s="767"/>
      <c r="AL432" s="767"/>
      <c r="AM432" s="767"/>
      <c r="AN432" s="767"/>
      <c r="AO432" s="767"/>
      <c r="AP432" s="767"/>
    </row>
    <row r="433" spans="1:42" s="141" customFormat="1" ht="60.75" customHeight="1">
      <c r="A433" s="868"/>
      <c r="B433" s="868"/>
      <c r="C433" s="775" t="s">
        <v>1239</v>
      </c>
      <c r="D433" s="868"/>
      <c r="E433" s="775" t="s">
        <v>221</v>
      </c>
      <c r="F433" s="801" t="s">
        <v>1240</v>
      </c>
      <c r="G433" s="875"/>
      <c r="H433" s="870"/>
      <c r="I433" s="775" t="s">
        <v>685</v>
      </c>
      <c r="J433" s="658">
        <f>VLOOKUP($I433,Prices!A:B,2,0)</f>
        <v>5</v>
      </c>
      <c r="K433" s="790">
        <f>VLOOKUP(I433,Prices!A:C,3,0)</f>
        <v>0</v>
      </c>
      <c r="L433" s="788" t="s">
        <v>224</v>
      </c>
      <c r="M433" s="788" t="s">
        <v>224</v>
      </c>
      <c r="N433" s="788" t="s">
        <v>194</v>
      </c>
      <c r="O433" s="769" t="s">
        <v>194</v>
      </c>
      <c r="P433" s="793" t="s">
        <v>194</v>
      </c>
      <c r="Q433" s="869"/>
      <c r="R433" s="877"/>
      <c r="S433" s="886"/>
      <c r="T433" s="757"/>
      <c r="U433" s="854"/>
      <c r="V433" s="801" t="s">
        <v>1241</v>
      </c>
      <c r="W433" s="801" t="s">
        <v>194</v>
      </c>
      <c r="X433" s="775" t="s">
        <v>194</v>
      </c>
      <c r="Y433" s="888"/>
      <c r="Z433" s="888"/>
      <c r="AA433" s="758"/>
      <c r="AB433" s="775"/>
      <c r="AC433" s="775"/>
      <c r="AD433" s="775"/>
      <c r="AE433" s="775"/>
      <c r="AF433" s="775"/>
      <c r="AG433" s="775"/>
      <c r="AH433" s="775"/>
      <c r="AI433" s="775"/>
      <c r="AJ433" s="775"/>
      <c r="AK433" s="775"/>
      <c r="AL433" s="775"/>
      <c r="AM433" s="775"/>
      <c r="AN433" s="775"/>
      <c r="AO433" s="775"/>
      <c r="AP433" s="775"/>
    </row>
    <row r="434" spans="1:42" s="141" customFormat="1" ht="21" customHeight="1">
      <c r="A434" s="873" t="s">
        <v>1242</v>
      </c>
      <c r="B434" s="868" t="s">
        <v>1215</v>
      </c>
      <c r="C434" s="867">
        <v>44670</v>
      </c>
      <c r="D434" s="868" t="s">
        <v>212</v>
      </c>
      <c r="E434" s="868" t="s">
        <v>320</v>
      </c>
      <c r="F434" s="890" t="s">
        <v>1243</v>
      </c>
      <c r="G434" s="875" t="s">
        <v>201</v>
      </c>
      <c r="H434" s="870" t="s">
        <v>260</v>
      </c>
      <c r="I434" s="775" t="s">
        <v>898</v>
      </c>
      <c r="J434" s="658">
        <f>VLOOKUP($I434,Prices!A:B,2,0)</f>
        <v>4</v>
      </c>
      <c r="K434" s="790">
        <f>VLOOKUP(I434,Prices!A:C,3,0)</f>
        <v>0</v>
      </c>
      <c r="L434" s="788">
        <v>5</v>
      </c>
      <c r="M434" s="788">
        <v>5</v>
      </c>
      <c r="N434" s="708">
        <f>VLOOKUP($I434,Prices!A:D,4,0)</f>
        <v>4500000</v>
      </c>
      <c r="O434" s="769">
        <f t="shared" si="28"/>
        <v>22500000</v>
      </c>
      <c r="P434" s="793">
        <f t="shared" si="29"/>
        <v>22500000</v>
      </c>
      <c r="Q434" s="869">
        <f>O434</f>
        <v>22500000</v>
      </c>
      <c r="R434" s="869">
        <f>Q434/VLOOKUP(H434, 'Currency Conversion'!B:C, 2, 0)</f>
        <v>21306818.18181818</v>
      </c>
      <c r="S434" s="886">
        <f>SUM(P434:P435)/VLOOKUP("USD",'Currency Conversion'!B:C,2,0)</f>
        <v>21306818.18181818</v>
      </c>
      <c r="T434" s="870" t="s">
        <v>195</v>
      </c>
      <c r="U434" s="854" t="s">
        <v>1236</v>
      </c>
      <c r="V434" s="854" t="s">
        <v>1244</v>
      </c>
      <c r="W434" s="854" t="s">
        <v>1237</v>
      </c>
      <c r="X434" s="896" t="s">
        <v>194</v>
      </c>
      <c r="Y434" s="878">
        <v>0</v>
      </c>
      <c r="Z434" s="870">
        <v>0</v>
      </c>
      <c r="AA434" s="762" t="s">
        <v>1245</v>
      </c>
      <c r="AB434" s="775"/>
      <c r="AC434" s="775"/>
      <c r="AD434" s="775"/>
      <c r="AE434" s="775"/>
      <c r="AF434" s="775"/>
      <c r="AG434" s="775"/>
      <c r="AH434" s="775"/>
      <c r="AI434" s="775"/>
      <c r="AJ434" s="775"/>
      <c r="AK434" s="775"/>
      <c r="AL434" s="775"/>
      <c r="AM434" s="775"/>
      <c r="AN434" s="775"/>
      <c r="AO434" s="775"/>
      <c r="AP434" s="775"/>
    </row>
    <row r="435" spans="1:42" s="141" customFormat="1" ht="19.5" customHeight="1">
      <c r="A435" s="873"/>
      <c r="B435" s="868"/>
      <c r="C435" s="867"/>
      <c r="D435" s="868"/>
      <c r="E435" s="868"/>
      <c r="F435" s="890"/>
      <c r="G435" s="875"/>
      <c r="H435" s="870"/>
      <c r="I435" s="775" t="s">
        <v>1235</v>
      </c>
      <c r="J435" s="658">
        <f>VLOOKUP($I435,Prices!A:B,2,0)</f>
        <v>4</v>
      </c>
      <c r="K435" s="790">
        <f>VLOOKUP(I435,Prices!A:C,3,0)</f>
        <v>0</v>
      </c>
      <c r="L435" s="788" t="s">
        <v>224</v>
      </c>
      <c r="M435" s="788" t="s">
        <v>224</v>
      </c>
      <c r="N435" s="708">
        <f>VLOOKUP($I435,Prices!A:D,4,0)</f>
        <v>334029</v>
      </c>
      <c r="O435" s="769" t="s">
        <v>194</v>
      </c>
      <c r="P435" s="793" t="s">
        <v>194</v>
      </c>
      <c r="Q435" s="869"/>
      <c r="R435" s="869"/>
      <c r="S435" s="886"/>
      <c r="T435" s="870"/>
      <c r="U435" s="854"/>
      <c r="V435" s="854"/>
      <c r="W435" s="854"/>
      <c r="X435" s="896"/>
      <c r="Y435" s="878"/>
      <c r="Z435" s="870"/>
      <c r="AA435" s="762" t="s">
        <v>1238</v>
      </c>
      <c r="AB435" s="775"/>
      <c r="AC435" s="775"/>
      <c r="AD435" s="775"/>
      <c r="AE435" s="775"/>
      <c r="AF435" s="775"/>
      <c r="AG435" s="775"/>
      <c r="AH435" s="775"/>
      <c r="AI435" s="775"/>
      <c r="AJ435" s="775"/>
      <c r="AK435" s="775"/>
      <c r="AL435" s="775"/>
      <c r="AM435" s="775"/>
      <c r="AN435" s="775"/>
      <c r="AO435" s="775"/>
      <c r="AP435" s="775"/>
    </row>
    <row r="436" spans="1:42" s="141" customFormat="1" ht="24" customHeight="1">
      <c r="A436" s="766" t="s">
        <v>1246</v>
      </c>
      <c r="B436" s="775" t="s">
        <v>1215</v>
      </c>
      <c r="C436" s="780">
        <v>44728</v>
      </c>
      <c r="D436" s="775" t="s">
        <v>212</v>
      </c>
      <c r="E436" s="775" t="s">
        <v>320</v>
      </c>
      <c r="F436" s="773" t="s">
        <v>1247</v>
      </c>
      <c r="G436" s="777" t="s">
        <v>259</v>
      </c>
      <c r="H436" s="757" t="s">
        <v>260</v>
      </c>
      <c r="I436" s="775" t="s">
        <v>660</v>
      </c>
      <c r="J436" s="658">
        <f>VLOOKUP($I436,Prices!A:B,2,0)</f>
        <v>4.5</v>
      </c>
      <c r="K436" s="790">
        <f>VLOOKUP(I436,Prices!A:C,3,0)</f>
        <v>0</v>
      </c>
      <c r="L436" s="788" t="s">
        <v>224</v>
      </c>
      <c r="M436" s="788" t="s">
        <v>194</v>
      </c>
      <c r="N436" s="708">
        <f>VLOOKUP($I436,Prices!A:D,4,0)</f>
        <v>1406812</v>
      </c>
      <c r="O436" s="769" t="s">
        <v>194</v>
      </c>
      <c r="P436" s="793" t="s">
        <v>194</v>
      </c>
      <c r="Q436" s="772" t="s">
        <v>194</v>
      </c>
      <c r="R436" s="772" t="s">
        <v>194</v>
      </c>
      <c r="S436" s="749" t="s">
        <v>194</v>
      </c>
      <c r="T436" s="757" t="s">
        <v>298</v>
      </c>
      <c r="U436" s="756" t="s">
        <v>1248</v>
      </c>
      <c r="V436" s="756" t="s">
        <v>1249</v>
      </c>
      <c r="W436" s="756"/>
      <c r="X436" s="771"/>
      <c r="Y436" s="759">
        <v>0</v>
      </c>
      <c r="Z436" s="757">
        <v>1</v>
      </c>
      <c r="AA436" s="762" t="s">
        <v>194</v>
      </c>
      <c r="AB436" s="775"/>
      <c r="AC436" s="775"/>
      <c r="AD436" s="775"/>
      <c r="AE436" s="775"/>
      <c r="AF436" s="775"/>
      <c r="AG436" s="775"/>
      <c r="AH436" s="775"/>
      <c r="AI436" s="775"/>
      <c r="AJ436" s="775"/>
      <c r="AK436" s="775"/>
      <c r="AL436" s="775"/>
      <c r="AM436" s="775"/>
      <c r="AN436" s="775"/>
      <c r="AO436" s="775"/>
      <c r="AP436" s="775"/>
    </row>
    <row r="437" spans="1:42" s="141" customFormat="1" ht="22.5" customHeight="1">
      <c r="A437" s="766" t="s">
        <v>1250</v>
      </c>
      <c r="B437" s="775" t="s">
        <v>1215</v>
      </c>
      <c r="C437" s="780">
        <v>44740</v>
      </c>
      <c r="D437" s="775" t="s">
        <v>212</v>
      </c>
      <c r="E437" s="775" t="s">
        <v>320</v>
      </c>
      <c r="F437" s="773" t="s">
        <v>1251</v>
      </c>
      <c r="G437" s="777" t="s">
        <v>201</v>
      </c>
      <c r="H437" s="757" t="s">
        <v>260</v>
      </c>
      <c r="I437" s="775" t="s">
        <v>898</v>
      </c>
      <c r="J437" s="658">
        <f>VLOOKUP($I437,Prices!A:B,2,0)</f>
        <v>4</v>
      </c>
      <c r="K437" s="790">
        <f>VLOOKUP(I437,Prices!A:C,3,0)</f>
        <v>0</v>
      </c>
      <c r="L437" s="788">
        <v>3</v>
      </c>
      <c r="M437" s="788" t="s">
        <v>194</v>
      </c>
      <c r="N437" s="708">
        <f>VLOOKUP($I437,Prices!A:D,4,0)</f>
        <v>4500000</v>
      </c>
      <c r="O437" s="769">
        <f t="shared" si="28"/>
        <v>13500000</v>
      </c>
      <c r="P437" s="793" t="s">
        <v>194</v>
      </c>
      <c r="Q437" s="769">
        <f>O437</f>
        <v>13500000</v>
      </c>
      <c r="R437" s="769">
        <f>Q437/VLOOKUP(H437, 'Currency Conversion'!B:C, 2, 0)</f>
        <v>12784090.909090908</v>
      </c>
      <c r="S437" s="749" t="s">
        <v>194</v>
      </c>
      <c r="T437" s="757" t="s">
        <v>195</v>
      </c>
      <c r="U437" s="756" t="s">
        <v>900</v>
      </c>
      <c r="V437" s="756" t="s">
        <v>1252</v>
      </c>
      <c r="W437" s="756" t="s">
        <v>1253</v>
      </c>
      <c r="X437" s="771" t="s">
        <v>194</v>
      </c>
      <c r="Y437" s="759">
        <v>0</v>
      </c>
      <c r="Z437" s="757">
        <v>1</v>
      </c>
      <c r="AA437" s="762"/>
      <c r="AB437" s="775"/>
      <c r="AC437" s="775"/>
      <c r="AD437" s="775"/>
      <c r="AE437" s="775"/>
      <c r="AF437" s="775"/>
      <c r="AG437" s="775"/>
      <c r="AH437" s="775"/>
      <c r="AI437" s="775"/>
      <c r="AJ437" s="775"/>
      <c r="AK437" s="775"/>
      <c r="AL437" s="775"/>
      <c r="AM437" s="775"/>
      <c r="AN437" s="775"/>
      <c r="AO437" s="775"/>
      <c r="AP437" s="775"/>
    </row>
    <row r="438" spans="1:42" ht="51.95" customHeight="1">
      <c r="A438" s="767" t="s">
        <v>1254</v>
      </c>
      <c r="B438" s="767" t="s">
        <v>1215</v>
      </c>
      <c r="C438" s="768">
        <v>44627</v>
      </c>
      <c r="D438" s="767" t="s">
        <v>190</v>
      </c>
      <c r="E438" s="767" t="s">
        <v>191</v>
      </c>
      <c r="F438" s="787" t="s">
        <v>1255</v>
      </c>
      <c r="G438" s="769">
        <v>15000000</v>
      </c>
      <c r="H438" s="761" t="s">
        <v>278</v>
      </c>
      <c r="I438" s="767" t="s">
        <v>194</v>
      </c>
      <c r="J438" s="658" t="str">
        <f>VLOOKUP($I438,Prices!A:B,2,0)</f>
        <v>.</v>
      </c>
      <c r="K438" s="790" t="s">
        <v>194</v>
      </c>
      <c r="L438" s="651" t="s">
        <v>194</v>
      </c>
      <c r="M438" s="651" t="s">
        <v>194</v>
      </c>
      <c r="N438" s="708" t="str">
        <f>VLOOKUP($I438,Prices!A:D,4,0)</f>
        <v>.</v>
      </c>
      <c r="O438" s="769" t="s">
        <v>194</v>
      </c>
      <c r="P438" s="793" t="s">
        <v>194</v>
      </c>
      <c r="Q438" s="769">
        <f>G438</f>
        <v>15000000</v>
      </c>
      <c r="R438" s="769">
        <f>Q438/VLOOKUP(H438, 'Currency Conversion'!B:C, 2, 0)</f>
        <v>15000000</v>
      </c>
      <c r="S438" s="763" t="s">
        <v>194</v>
      </c>
      <c r="T438" s="761" t="s">
        <v>240</v>
      </c>
      <c r="U438" s="756" t="s">
        <v>1256</v>
      </c>
      <c r="V438" s="756" t="s">
        <v>1257</v>
      </c>
      <c r="W438" s="787" t="s">
        <v>194</v>
      </c>
      <c r="X438" s="771" t="s">
        <v>194</v>
      </c>
      <c r="Y438" s="759">
        <v>0</v>
      </c>
      <c r="Z438" s="761">
        <v>0</v>
      </c>
      <c r="AA438" s="802" t="s">
        <v>194</v>
      </c>
      <c r="AB438" s="767"/>
      <c r="AC438" s="767"/>
      <c r="AD438" s="767"/>
      <c r="AE438" s="767"/>
      <c r="AF438" s="767"/>
      <c r="AG438" s="767"/>
      <c r="AH438" s="767"/>
      <c r="AI438" s="767"/>
      <c r="AJ438" s="767"/>
      <c r="AK438" s="767"/>
      <c r="AL438" s="767"/>
      <c r="AM438" s="767"/>
      <c r="AN438" s="767"/>
      <c r="AO438" s="767"/>
      <c r="AP438" s="767"/>
    </row>
    <row r="439" spans="1:42" s="637" customFormat="1" ht="54.95" customHeight="1">
      <c r="A439" s="766" t="s">
        <v>1258</v>
      </c>
      <c r="B439" s="766" t="s">
        <v>1215</v>
      </c>
      <c r="C439" s="776" t="s">
        <v>1259</v>
      </c>
      <c r="D439" s="766" t="s">
        <v>190</v>
      </c>
      <c r="E439" s="766" t="s">
        <v>191</v>
      </c>
      <c r="F439" s="765" t="s">
        <v>1260</v>
      </c>
      <c r="G439" s="778">
        <v>1500000</v>
      </c>
      <c r="H439" s="759" t="s">
        <v>278</v>
      </c>
      <c r="I439" s="766" t="s">
        <v>194</v>
      </c>
      <c r="J439" s="658" t="str">
        <f>VLOOKUP($I439,Prices!A:B,2,0)</f>
        <v>.</v>
      </c>
      <c r="K439" s="790" t="s">
        <v>194</v>
      </c>
      <c r="L439" s="665" t="s">
        <v>194</v>
      </c>
      <c r="M439" s="665" t="s">
        <v>194</v>
      </c>
      <c r="N439" s="647" t="str">
        <f>VLOOKUP($I439,Prices!A:D,4,0)</f>
        <v>.</v>
      </c>
      <c r="O439" s="769" t="s">
        <v>194</v>
      </c>
      <c r="P439" s="793" t="s">
        <v>194</v>
      </c>
      <c r="Q439" s="778">
        <f>G439</f>
        <v>1500000</v>
      </c>
      <c r="R439" s="778">
        <f>Q439/VLOOKUP(H439, 'Currency Conversion'!B:C, 2, 0)</f>
        <v>1500000</v>
      </c>
      <c r="S439" s="790" t="s">
        <v>194</v>
      </c>
      <c r="T439" s="759" t="s">
        <v>240</v>
      </c>
      <c r="U439" s="756" t="s">
        <v>1256</v>
      </c>
      <c r="V439" s="765" t="s">
        <v>194</v>
      </c>
      <c r="W439" s="765" t="s">
        <v>194</v>
      </c>
      <c r="X439" s="811" t="s">
        <v>194</v>
      </c>
      <c r="Y439" s="759">
        <v>0</v>
      </c>
      <c r="Z439" s="759">
        <v>0</v>
      </c>
      <c r="AA439" s="813" t="s">
        <v>194</v>
      </c>
      <c r="AB439" s="766"/>
      <c r="AC439" s="766"/>
      <c r="AD439" s="766"/>
      <c r="AE439" s="766"/>
      <c r="AF439" s="766"/>
      <c r="AG439" s="766"/>
      <c r="AH439" s="766"/>
      <c r="AI439" s="766"/>
      <c r="AJ439" s="766"/>
      <c r="AK439" s="766"/>
      <c r="AL439" s="766"/>
      <c r="AM439" s="766"/>
      <c r="AN439" s="766"/>
      <c r="AO439" s="766"/>
      <c r="AP439" s="766"/>
    </row>
    <row r="440" spans="1:42" ht="17.100000000000001" customHeight="1">
      <c r="A440" s="879" t="s">
        <v>1261</v>
      </c>
      <c r="B440" s="879" t="s">
        <v>1215</v>
      </c>
      <c r="C440" s="906">
        <v>44622</v>
      </c>
      <c r="D440" s="879" t="s">
        <v>190</v>
      </c>
      <c r="E440" s="879" t="s">
        <v>199</v>
      </c>
      <c r="F440" s="884" t="s">
        <v>1262</v>
      </c>
      <c r="G440" s="916" t="s">
        <v>259</v>
      </c>
      <c r="H440" s="888" t="s">
        <v>260</v>
      </c>
      <c r="I440" s="767" t="s">
        <v>266</v>
      </c>
      <c r="J440" s="658">
        <f>VLOOKUP($I440,Prices!A:B,2,0)</f>
        <v>0</v>
      </c>
      <c r="K440" s="790">
        <f>VLOOKUP(I440,Prices!A:C,3,0)</f>
        <v>0</v>
      </c>
      <c r="L440" s="651">
        <v>10000</v>
      </c>
      <c r="M440" s="665"/>
      <c r="N440" s="707">
        <f>VLOOKUP($I440,Prices!A:D,4,0)</f>
        <v>0.15</v>
      </c>
      <c r="O440" s="769">
        <f t="shared" si="28"/>
        <v>1500</v>
      </c>
      <c r="P440" s="793" t="s">
        <v>194</v>
      </c>
      <c r="Q440" s="877">
        <f>SUM(O440:O442)</f>
        <v>2014000</v>
      </c>
      <c r="R440" s="887">
        <f>Q440/VLOOKUP(H440, 'Currency Conversion'!B:C, 2, 0)</f>
        <v>1907196.9696969695</v>
      </c>
      <c r="S440" s="865" t="s">
        <v>194</v>
      </c>
      <c r="T440" s="888" t="s">
        <v>298</v>
      </c>
      <c r="U440" s="854" t="s">
        <v>1263</v>
      </c>
      <c r="V440" s="884" t="s">
        <v>194</v>
      </c>
      <c r="W440" s="884" t="s">
        <v>194</v>
      </c>
      <c r="X440" s="896" t="s">
        <v>194</v>
      </c>
      <c r="Y440" s="878">
        <v>0</v>
      </c>
      <c r="Z440" s="888">
        <v>0</v>
      </c>
      <c r="AA440" s="898" t="s">
        <v>194</v>
      </c>
      <c r="AB440" s="767"/>
      <c r="AC440" s="767"/>
      <c r="AD440" s="767"/>
      <c r="AE440" s="767"/>
      <c r="AF440" s="767"/>
      <c r="AG440" s="767"/>
      <c r="AH440" s="767"/>
      <c r="AI440" s="767"/>
      <c r="AJ440" s="767"/>
      <c r="AK440" s="767"/>
      <c r="AL440" s="767"/>
      <c r="AM440" s="767"/>
      <c r="AN440" s="767"/>
      <c r="AO440" s="767"/>
      <c r="AP440" s="767"/>
    </row>
    <row r="441" spans="1:42" ht="24.75" customHeight="1">
      <c r="A441" s="879"/>
      <c r="B441" s="879"/>
      <c r="C441" s="906"/>
      <c r="D441" s="879"/>
      <c r="E441" s="879"/>
      <c r="F441" s="884"/>
      <c r="G441" s="916"/>
      <c r="H441" s="888"/>
      <c r="I441" s="767" t="s">
        <v>1264</v>
      </c>
      <c r="J441" s="658">
        <f>VLOOKUP($I441,Prices!A:B,2,0)</f>
        <v>0</v>
      </c>
      <c r="K441" s="790">
        <f>VLOOKUP(I441,Prices!A:C,3,0)</f>
        <v>0</v>
      </c>
      <c r="L441" s="651">
        <v>10000</v>
      </c>
      <c r="M441" s="665"/>
      <c r="N441" s="647">
        <f>VLOOKUP($I441,Prices!A:D,4,0)</f>
        <v>200</v>
      </c>
      <c r="O441" s="769">
        <f t="shared" si="28"/>
        <v>2000000</v>
      </c>
      <c r="P441" s="793" t="s">
        <v>194</v>
      </c>
      <c r="Q441" s="877"/>
      <c r="R441" s="887"/>
      <c r="S441" s="865"/>
      <c r="T441" s="888"/>
      <c r="U441" s="854"/>
      <c r="V441" s="884"/>
      <c r="W441" s="884"/>
      <c r="X441" s="896"/>
      <c r="Y441" s="878"/>
      <c r="Z441" s="888"/>
      <c r="AA441" s="898"/>
      <c r="AB441" s="767"/>
      <c r="AC441" s="767"/>
      <c r="AD441" s="767"/>
      <c r="AE441" s="767"/>
      <c r="AF441" s="767"/>
      <c r="AG441" s="767"/>
      <c r="AH441" s="767"/>
      <c r="AI441" s="767"/>
      <c r="AJ441" s="767"/>
      <c r="AK441" s="767"/>
      <c r="AL441" s="767"/>
      <c r="AM441" s="767"/>
      <c r="AN441" s="767"/>
      <c r="AO441" s="767"/>
      <c r="AP441" s="767"/>
    </row>
    <row r="442" spans="1:42" ht="20.100000000000001" customHeight="1">
      <c r="A442" s="879"/>
      <c r="B442" s="879"/>
      <c r="C442" s="906"/>
      <c r="D442" s="879"/>
      <c r="E442" s="879"/>
      <c r="F442" s="884"/>
      <c r="G442" s="916"/>
      <c r="H442" s="888"/>
      <c r="I442" s="767" t="s">
        <v>1265</v>
      </c>
      <c r="J442" s="658">
        <f>VLOOKUP($I442,Prices!A:B,2,0)</f>
        <v>0</v>
      </c>
      <c r="K442" s="790">
        <f>VLOOKUP(I442,Prices!A:C,3,0)</f>
        <v>0</v>
      </c>
      <c r="L442" s="651">
        <v>50000</v>
      </c>
      <c r="M442" s="665"/>
      <c r="N442" s="707">
        <f>VLOOKUP($I442,Prices!A:D,4,0)</f>
        <v>0.25</v>
      </c>
      <c r="O442" s="769">
        <f t="shared" si="28"/>
        <v>12500</v>
      </c>
      <c r="P442" s="793" t="s">
        <v>194</v>
      </c>
      <c r="Q442" s="877"/>
      <c r="R442" s="887"/>
      <c r="S442" s="865"/>
      <c r="T442" s="888"/>
      <c r="U442" s="854"/>
      <c r="V442" s="884"/>
      <c r="W442" s="884"/>
      <c r="X442" s="896"/>
      <c r="Y442" s="878"/>
      <c r="Z442" s="888"/>
      <c r="AA442" s="898"/>
      <c r="AB442" s="767"/>
      <c r="AC442" s="767"/>
      <c r="AD442" s="767"/>
      <c r="AE442" s="767"/>
      <c r="AF442" s="767"/>
      <c r="AG442" s="767"/>
      <c r="AH442" s="767"/>
      <c r="AI442" s="767"/>
      <c r="AJ442" s="767"/>
      <c r="AK442" s="767"/>
      <c r="AL442" s="767"/>
      <c r="AM442" s="767"/>
      <c r="AN442" s="767"/>
      <c r="AO442" s="767"/>
      <c r="AP442" s="767"/>
    </row>
    <row r="443" spans="1:42" s="141" customFormat="1" ht="33.75" customHeight="1">
      <c r="A443" s="776" t="s">
        <v>1266</v>
      </c>
      <c r="B443" s="776" t="s">
        <v>1215</v>
      </c>
      <c r="C443" s="776">
        <v>44686</v>
      </c>
      <c r="D443" s="776" t="s">
        <v>190</v>
      </c>
      <c r="E443" s="776" t="s">
        <v>199</v>
      </c>
      <c r="F443" s="773" t="s">
        <v>1267</v>
      </c>
      <c r="G443" s="777" t="s">
        <v>201</v>
      </c>
      <c r="H443" s="682" t="s">
        <v>260</v>
      </c>
      <c r="I443" s="776" t="s">
        <v>272</v>
      </c>
      <c r="J443" s="658">
        <f>VLOOKUP($I443,Prices!A:B,2,0)</f>
        <v>0</v>
      </c>
      <c r="K443" s="790">
        <f>VLOOKUP(I443,Prices!A:C,3,0)</f>
        <v>0</v>
      </c>
      <c r="L443" s="788">
        <v>17</v>
      </c>
      <c r="M443" s="788"/>
      <c r="N443" s="647">
        <f>VLOOKUP($I443,Prices!A:D,4,0)</f>
        <v>220000</v>
      </c>
      <c r="O443" s="769">
        <f t="shared" si="28"/>
        <v>3740000</v>
      </c>
      <c r="P443" s="793" t="s">
        <v>194</v>
      </c>
      <c r="Q443" s="772">
        <f>O443</f>
        <v>3740000</v>
      </c>
      <c r="R443" s="772">
        <f>Q443/VLOOKUP(H443, 'Currency Conversion'!B:C, 2, 0)</f>
        <v>3541666.6666666665</v>
      </c>
      <c r="S443" s="749" t="s">
        <v>194</v>
      </c>
      <c r="T443" s="749" t="s">
        <v>240</v>
      </c>
      <c r="U443" s="764" t="s">
        <v>1198</v>
      </c>
      <c r="V443" s="177" t="s">
        <v>194</v>
      </c>
      <c r="W443" s="177" t="s">
        <v>194</v>
      </c>
      <c r="X443" s="772" t="s">
        <v>194</v>
      </c>
      <c r="Y443" s="759">
        <v>0</v>
      </c>
      <c r="Z443" s="759">
        <v>0</v>
      </c>
      <c r="AA443" s="781" t="s">
        <v>194</v>
      </c>
      <c r="AB443" s="775"/>
      <c r="AC443" s="775"/>
      <c r="AD443" s="775"/>
      <c r="AE443" s="775"/>
      <c r="AF443" s="775"/>
      <c r="AG443" s="775"/>
      <c r="AH443" s="775"/>
      <c r="AI443" s="775"/>
      <c r="AJ443" s="775"/>
      <c r="AK443" s="775"/>
      <c r="AL443" s="775"/>
      <c r="AM443" s="775"/>
      <c r="AN443" s="775"/>
      <c r="AO443" s="775"/>
      <c r="AP443" s="775"/>
    </row>
    <row r="444" spans="1:42" s="141" customFormat="1" ht="33.75" customHeight="1">
      <c r="A444" s="776" t="s">
        <v>1268</v>
      </c>
      <c r="B444" s="776" t="s">
        <v>1215</v>
      </c>
      <c r="C444" s="776">
        <v>44686</v>
      </c>
      <c r="D444" s="776" t="s">
        <v>190</v>
      </c>
      <c r="E444" s="776" t="s">
        <v>199</v>
      </c>
      <c r="F444" s="773" t="s">
        <v>1269</v>
      </c>
      <c r="G444" s="777">
        <v>5000000</v>
      </c>
      <c r="H444" s="682" t="s">
        <v>278</v>
      </c>
      <c r="I444" s="776" t="s">
        <v>968</v>
      </c>
      <c r="J444" s="658">
        <f>VLOOKUP($I444,Prices!A:B,2,0)</f>
        <v>0</v>
      </c>
      <c r="K444" s="790">
        <f>VLOOKUP(I444,Prices!A:C,3,0)</f>
        <v>0</v>
      </c>
      <c r="L444" s="665" t="s">
        <v>224</v>
      </c>
      <c r="M444" s="788"/>
      <c r="N444" s="707">
        <f>VLOOKUP($I444,Prices!A:D,4,0)</f>
        <v>1.33</v>
      </c>
      <c r="O444" s="769" t="s">
        <v>194</v>
      </c>
      <c r="P444" s="793" t="s">
        <v>194</v>
      </c>
      <c r="Q444" s="772">
        <f>G444</f>
        <v>5000000</v>
      </c>
      <c r="R444" s="772">
        <f>Q444/VLOOKUP(H444, 'Currency Conversion'!B:C, 2, 0)</f>
        <v>5000000</v>
      </c>
      <c r="S444" s="763" t="s">
        <v>194</v>
      </c>
      <c r="T444" s="749" t="s">
        <v>240</v>
      </c>
      <c r="U444" s="764" t="s">
        <v>1198</v>
      </c>
      <c r="V444" s="177" t="s">
        <v>194</v>
      </c>
      <c r="W444" s="177" t="s">
        <v>194</v>
      </c>
      <c r="X444" s="772" t="s">
        <v>194</v>
      </c>
      <c r="Y444" s="759">
        <v>0</v>
      </c>
      <c r="Z444" s="759">
        <v>0</v>
      </c>
      <c r="AA444" s="781" t="s">
        <v>194</v>
      </c>
      <c r="AB444" s="775"/>
      <c r="AC444" s="775"/>
      <c r="AD444" s="775"/>
      <c r="AE444" s="775"/>
      <c r="AF444" s="775"/>
      <c r="AG444" s="775"/>
      <c r="AH444" s="775"/>
      <c r="AI444" s="775"/>
      <c r="AJ444" s="775"/>
      <c r="AK444" s="775"/>
      <c r="AL444" s="775"/>
      <c r="AM444" s="775"/>
      <c r="AN444" s="775"/>
      <c r="AO444" s="775"/>
      <c r="AP444" s="775"/>
    </row>
    <row r="445" spans="1:42" ht="20.100000000000001" customHeight="1">
      <c r="A445" s="767" t="s">
        <v>1270</v>
      </c>
      <c r="B445" s="767" t="s">
        <v>1215</v>
      </c>
      <c r="C445" s="768">
        <v>44627</v>
      </c>
      <c r="D445" s="767" t="s">
        <v>292</v>
      </c>
      <c r="E445" s="767" t="s">
        <v>804</v>
      </c>
      <c r="F445" s="787" t="s">
        <v>1271</v>
      </c>
      <c r="G445" s="770">
        <v>80000000</v>
      </c>
      <c r="H445" s="761" t="s">
        <v>278</v>
      </c>
      <c r="I445" s="767" t="s">
        <v>194</v>
      </c>
      <c r="J445" s="658" t="str">
        <f>VLOOKUP($I445,Prices!A:B,2,0)</f>
        <v>.</v>
      </c>
      <c r="K445" s="790">
        <f>VLOOKUP(I445,Prices!A:C,3,0)</f>
        <v>0</v>
      </c>
      <c r="L445" s="651" t="s">
        <v>194</v>
      </c>
      <c r="M445" s="665"/>
      <c r="N445" s="647" t="str">
        <f>VLOOKUP($I445,Prices!A:D,4,0)</f>
        <v>.</v>
      </c>
      <c r="O445" s="769" t="s">
        <v>194</v>
      </c>
      <c r="P445" s="793" t="s">
        <v>194</v>
      </c>
      <c r="Q445" s="769">
        <f>G445</f>
        <v>80000000</v>
      </c>
      <c r="R445" s="778">
        <f>Q445/VLOOKUP(H445, 'Currency Conversion'!B:C, 2, 0)</f>
        <v>80000000</v>
      </c>
      <c r="S445" s="790" t="s">
        <v>194</v>
      </c>
      <c r="T445" s="761" t="s">
        <v>240</v>
      </c>
      <c r="U445" s="756" t="s">
        <v>663</v>
      </c>
      <c r="V445" s="177" t="s">
        <v>194</v>
      </c>
      <c r="W445" s="177" t="s">
        <v>194</v>
      </c>
      <c r="X445" s="772" t="s">
        <v>194</v>
      </c>
      <c r="Y445" s="759">
        <v>1</v>
      </c>
      <c r="Z445" s="761">
        <v>0</v>
      </c>
      <c r="AA445" s="813" t="s">
        <v>194</v>
      </c>
      <c r="AB445" s="767"/>
      <c r="AC445" s="767"/>
      <c r="AD445" s="767"/>
      <c r="AE445" s="767"/>
      <c r="AF445" s="767"/>
      <c r="AG445" s="767"/>
      <c r="AH445" s="767"/>
      <c r="AI445" s="767"/>
      <c r="AJ445" s="767"/>
      <c r="AK445" s="767"/>
      <c r="AL445" s="767"/>
      <c r="AM445" s="767"/>
      <c r="AN445" s="767"/>
      <c r="AO445" s="767"/>
      <c r="AP445" s="767"/>
    </row>
    <row r="446" spans="1:42" s="637" customFormat="1" ht="24.75" customHeight="1">
      <c r="A446" s="873" t="s">
        <v>1272</v>
      </c>
      <c r="B446" s="873" t="s">
        <v>1273</v>
      </c>
      <c r="C446" s="874">
        <v>44641</v>
      </c>
      <c r="D446" s="873" t="s">
        <v>212</v>
      </c>
      <c r="E446" s="873" t="s">
        <v>221</v>
      </c>
      <c r="F446" s="882" t="s">
        <v>1274</v>
      </c>
      <c r="G446" s="889"/>
      <c r="H446" s="878" t="s">
        <v>260</v>
      </c>
      <c r="I446" s="793" t="s">
        <v>348</v>
      </c>
      <c r="J446" s="658">
        <f>VLOOKUP($I446,Prices!A:B,2,0)</f>
        <v>1</v>
      </c>
      <c r="K446" s="790">
        <f>VLOOKUP(I446,Prices!A:C,3,0)</f>
        <v>0</v>
      </c>
      <c r="L446" s="643">
        <v>1066</v>
      </c>
      <c r="M446" s="788">
        <v>1066</v>
      </c>
      <c r="N446" s="707">
        <f>VLOOKUP($I446,Prices!A:D,4,0)</f>
        <v>500</v>
      </c>
      <c r="O446" s="769">
        <f t="shared" si="28"/>
        <v>533000</v>
      </c>
      <c r="P446" s="793">
        <f t="shared" si="29"/>
        <v>533000</v>
      </c>
      <c r="Q446" s="887">
        <f>SUM(O446:O448)</f>
        <v>1212330</v>
      </c>
      <c r="R446" s="869">
        <f>Q446/VLOOKUP(H446,'Currency Conversion'!$B$2:$C$16,2,0)</f>
        <v>1148039.7727272727</v>
      </c>
      <c r="S446" s="886">
        <f>R446</f>
        <v>1148039.7727272727</v>
      </c>
      <c r="T446" s="878" t="s">
        <v>195</v>
      </c>
      <c r="U446" s="854" t="s">
        <v>1275</v>
      </c>
      <c r="V446" s="854" t="s">
        <v>1276</v>
      </c>
      <c r="W446" s="884" t="s">
        <v>194</v>
      </c>
      <c r="X446" s="896" t="s">
        <v>194</v>
      </c>
      <c r="Y446" s="878">
        <v>0</v>
      </c>
      <c r="Z446" s="878">
        <v>0</v>
      </c>
      <c r="AA446" s="899" t="s">
        <v>1277</v>
      </c>
      <c r="AB446" s="766"/>
      <c r="AC446" s="766"/>
      <c r="AD446" s="766"/>
      <c r="AE446" s="766"/>
      <c r="AF446" s="766"/>
      <c r="AG446" s="766"/>
      <c r="AH446" s="766"/>
      <c r="AI446" s="766"/>
      <c r="AJ446" s="766"/>
      <c r="AK446" s="766"/>
      <c r="AL446" s="766"/>
      <c r="AM446" s="766"/>
      <c r="AN446" s="766"/>
      <c r="AO446" s="766"/>
      <c r="AP446" s="766"/>
    </row>
    <row r="447" spans="1:42" s="637" customFormat="1" ht="21" customHeight="1">
      <c r="A447" s="873"/>
      <c r="B447" s="873"/>
      <c r="C447" s="874"/>
      <c r="D447" s="873"/>
      <c r="E447" s="873"/>
      <c r="F447" s="882"/>
      <c r="G447" s="889"/>
      <c r="H447" s="878"/>
      <c r="I447" s="793" t="s">
        <v>344</v>
      </c>
      <c r="J447" s="658">
        <f>VLOOKUP($I447,Prices!A:B,2,0)</f>
        <v>1</v>
      </c>
      <c r="K447" s="790">
        <f>VLOOKUP(I447,Prices!A:C,3,0)</f>
        <v>0</v>
      </c>
      <c r="L447" s="643">
        <v>473</v>
      </c>
      <c r="M447" s="788">
        <v>473</v>
      </c>
      <c r="N447" s="647">
        <f>VLOOKUP($I447,Prices!A:D,4,0)</f>
        <v>1400</v>
      </c>
      <c r="O447" s="769">
        <f t="shared" si="28"/>
        <v>662200</v>
      </c>
      <c r="P447" s="793">
        <f t="shared" si="29"/>
        <v>662200</v>
      </c>
      <c r="Q447" s="887"/>
      <c r="R447" s="869"/>
      <c r="S447" s="886"/>
      <c r="T447" s="878"/>
      <c r="U447" s="854"/>
      <c r="V447" s="854"/>
      <c r="W447" s="884"/>
      <c r="X447" s="896"/>
      <c r="Y447" s="878"/>
      <c r="Z447" s="878"/>
      <c r="AA447" s="899"/>
      <c r="AB447" s="766"/>
      <c r="AC447" s="766"/>
      <c r="AD447" s="766"/>
      <c r="AE447" s="766"/>
      <c r="AF447" s="766"/>
      <c r="AG447" s="766"/>
      <c r="AH447" s="766"/>
      <c r="AI447" s="766"/>
      <c r="AJ447" s="766"/>
      <c r="AK447" s="766"/>
      <c r="AL447" s="766"/>
      <c r="AM447" s="766"/>
      <c r="AN447" s="766"/>
      <c r="AO447" s="766"/>
      <c r="AP447" s="766"/>
    </row>
    <row r="448" spans="1:42" s="637" customFormat="1" ht="18.75" customHeight="1">
      <c r="A448" s="873"/>
      <c r="B448" s="873"/>
      <c r="C448" s="874"/>
      <c r="D448" s="873"/>
      <c r="E448" s="873"/>
      <c r="F448" s="882"/>
      <c r="G448" s="889"/>
      <c r="H448" s="878"/>
      <c r="I448" s="766" t="s">
        <v>1278</v>
      </c>
      <c r="J448" s="658">
        <f>VLOOKUP($I448,Prices!A:B,2,0)</f>
        <v>1</v>
      </c>
      <c r="K448" s="790">
        <f>VLOOKUP(I448,Prices!A:C,3,0)</f>
        <v>0</v>
      </c>
      <c r="L448" s="665">
        <v>571</v>
      </c>
      <c r="M448" s="665">
        <v>571</v>
      </c>
      <c r="N448" s="707">
        <f>VLOOKUP($I448,Prices!A:D,4,0)</f>
        <v>30</v>
      </c>
      <c r="O448" s="769">
        <f t="shared" si="28"/>
        <v>17130</v>
      </c>
      <c r="P448" s="793">
        <f t="shared" si="29"/>
        <v>17130</v>
      </c>
      <c r="Q448" s="887"/>
      <c r="R448" s="869"/>
      <c r="S448" s="886"/>
      <c r="T448" s="878"/>
      <c r="U448" s="854"/>
      <c r="V448" s="854"/>
      <c r="W448" s="884"/>
      <c r="X448" s="896"/>
      <c r="Y448" s="878"/>
      <c r="Z448" s="878"/>
      <c r="AA448" s="899"/>
      <c r="AB448" s="766"/>
      <c r="AC448" s="766"/>
      <c r="AD448" s="766"/>
      <c r="AE448" s="766"/>
      <c r="AF448" s="766"/>
      <c r="AG448" s="766"/>
      <c r="AH448" s="766"/>
      <c r="AI448" s="766"/>
      <c r="AJ448" s="766"/>
      <c r="AK448" s="766"/>
      <c r="AL448" s="766"/>
      <c r="AM448" s="766"/>
      <c r="AN448" s="766"/>
      <c r="AO448" s="766"/>
      <c r="AP448" s="766"/>
    </row>
    <row r="449" spans="1:42" s="141" customFormat="1" ht="157.5">
      <c r="A449" s="775" t="s">
        <v>1279</v>
      </c>
      <c r="B449" s="775" t="s">
        <v>1273</v>
      </c>
      <c r="C449" s="780" t="s">
        <v>1280</v>
      </c>
      <c r="D449" s="775" t="s">
        <v>212</v>
      </c>
      <c r="E449" s="775" t="s">
        <v>191</v>
      </c>
      <c r="F449" s="789" t="s">
        <v>1281</v>
      </c>
      <c r="G449" s="777">
        <v>5000000</v>
      </c>
      <c r="H449" s="757" t="s">
        <v>1282</v>
      </c>
      <c r="I449" s="793" t="s">
        <v>194</v>
      </c>
      <c r="J449" s="658" t="str">
        <f>VLOOKUP($I449,Prices!A:B,2,0)</f>
        <v>.</v>
      </c>
      <c r="K449" s="790" t="s">
        <v>194</v>
      </c>
      <c r="L449" s="643" t="s">
        <v>194</v>
      </c>
      <c r="M449" s="788" t="s">
        <v>194</v>
      </c>
      <c r="N449" s="647" t="str">
        <f>VLOOKUP($I449,Prices!A:D,4,0)</f>
        <v>.</v>
      </c>
      <c r="O449" s="769" t="s">
        <v>194</v>
      </c>
      <c r="P449" s="793" t="s">
        <v>194</v>
      </c>
      <c r="Q449" s="772">
        <f t="shared" ref="Q449" si="30">G449</f>
        <v>5000000</v>
      </c>
      <c r="R449" s="772">
        <f>Q449/VLOOKUP(H449,'Currency Conversion'!$B$2:$C$16,2,0)</f>
        <v>3002462.0188554614</v>
      </c>
      <c r="S449" s="749" t="s">
        <v>194</v>
      </c>
      <c r="T449" s="757" t="s">
        <v>195</v>
      </c>
      <c r="U449" s="756" t="s">
        <v>1283</v>
      </c>
      <c r="V449" s="756" t="s">
        <v>1275</v>
      </c>
      <c r="W449" s="756" t="s">
        <v>1276</v>
      </c>
      <c r="X449" s="683" t="s">
        <v>1284</v>
      </c>
      <c r="Y449" s="759">
        <v>0</v>
      </c>
      <c r="Z449" s="757">
        <v>0</v>
      </c>
      <c r="AA449" s="799" t="s">
        <v>194</v>
      </c>
      <c r="AB449" s="775"/>
      <c r="AC449" s="775"/>
      <c r="AD449" s="775"/>
      <c r="AE449" s="775"/>
      <c r="AF449" s="775"/>
      <c r="AG449" s="775"/>
      <c r="AH449" s="775"/>
      <c r="AI449" s="775"/>
      <c r="AJ449" s="775"/>
      <c r="AK449" s="775"/>
      <c r="AL449" s="775"/>
      <c r="AM449" s="775"/>
      <c r="AN449" s="775"/>
      <c r="AO449" s="775"/>
      <c r="AP449" s="775"/>
    </row>
    <row r="450" spans="1:42" s="141" customFormat="1" ht="47.25">
      <c r="A450" s="775" t="s">
        <v>1285</v>
      </c>
      <c r="B450" s="775" t="s">
        <v>1273</v>
      </c>
      <c r="C450" s="780">
        <v>44662</v>
      </c>
      <c r="D450" s="775" t="s">
        <v>212</v>
      </c>
      <c r="E450" s="775" t="s">
        <v>221</v>
      </c>
      <c r="F450" s="773" t="s">
        <v>1286</v>
      </c>
      <c r="G450" s="777">
        <v>4100000</v>
      </c>
      <c r="H450" s="757" t="s">
        <v>1282</v>
      </c>
      <c r="I450" s="793" t="s">
        <v>194</v>
      </c>
      <c r="J450" s="658" t="str">
        <f>VLOOKUP($I450,Prices!A:B,2,0)</f>
        <v>.</v>
      </c>
      <c r="K450" s="790" t="s">
        <v>194</v>
      </c>
      <c r="L450" s="643" t="s">
        <v>194</v>
      </c>
      <c r="M450" s="788" t="s">
        <v>194</v>
      </c>
      <c r="N450" s="708" t="str">
        <f>VLOOKUP($I450,Prices!A:D,4,0)</f>
        <v>.</v>
      </c>
      <c r="O450" s="769" t="s">
        <v>194</v>
      </c>
      <c r="P450" s="793" t="s">
        <v>194</v>
      </c>
      <c r="Q450" s="772">
        <f>G450</f>
        <v>4100000</v>
      </c>
      <c r="R450" s="772">
        <f>Q450/VLOOKUP(H450,'Currency Conversion'!$B$2:$C$16,2,0)</f>
        <v>2462018.8554614782</v>
      </c>
      <c r="S450" s="749" t="s">
        <v>194</v>
      </c>
      <c r="T450" s="757" t="s">
        <v>195</v>
      </c>
      <c r="U450" s="756" t="s">
        <v>1283</v>
      </c>
      <c r="V450" s="756" t="s">
        <v>1287</v>
      </c>
      <c r="W450" s="756" t="s">
        <v>1288</v>
      </c>
      <c r="X450" s="772" t="s">
        <v>194</v>
      </c>
      <c r="Y450" s="759">
        <v>0</v>
      </c>
      <c r="Z450" s="757">
        <v>0</v>
      </c>
      <c r="AA450" s="799" t="s">
        <v>194</v>
      </c>
      <c r="AB450" s="775"/>
      <c r="AC450" s="775"/>
      <c r="AD450" s="775"/>
      <c r="AE450" s="775"/>
      <c r="AF450" s="775"/>
      <c r="AG450" s="775"/>
      <c r="AH450" s="775"/>
      <c r="AI450" s="775"/>
      <c r="AJ450" s="775"/>
      <c r="AK450" s="775"/>
      <c r="AL450" s="775"/>
      <c r="AM450" s="775"/>
      <c r="AN450" s="775"/>
      <c r="AO450" s="775"/>
      <c r="AP450" s="775"/>
    </row>
    <row r="451" spans="1:42" s="141" customFormat="1" ht="94.5">
      <c r="A451" s="775" t="s">
        <v>1289</v>
      </c>
      <c r="B451" s="775" t="s">
        <v>1273</v>
      </c>
      <c r="C451" s="780">
        <v>44662</v>
      </c>
      <c r="D451" s="775" t="s">
        <v>212</v>
      </c>
      <c r="E451" s="775" t="s">
        <v>191</v>
      </c>
      <c r="F451" s="773" t="s">
        <v>1290</v>
      </c>
      <c r="G451" s="777">
        <v>7500000</v>
      </c>
      <c r="H451" s="757" t="s">
        <v>1282</v>
      </c>
      <c r="I451" s="793" t="s">
        <v>194</v>
      </c>
      <c r="J451" s="658" t="str">
        <f>VLOOKUP($I451,Prices!A:B,2,0)</f>
        <v>.</v>
      </c>
      <c r="K451" s="790" t="s">
        <v>194</v>
      </c>
      <c r="L451" s="643" t="s">
        <v>194</v>
      </c>
      <c r="M451" s="788" t="s">
        <v>194</v>
      </c>
      <c r="N451" s="647" t="str">
        <f>VLOOKUP($I451,Prices!A:D,4,0)</f>
        <v>.</v>
      </c>
      <c r="O451" s="769" t="s">
        <v>194</v>
      </c>
      <c r="P451" s="793" t="s">
        <v>194</v>
      </c>
      <c r="Q451" s="772">
        <f>G451</f>
        <v>7500000</v>
      </c>
      <c r="R451" s="772">
        <f>Q451/VLOOKUP(H451,'Currency Conversion'!$B$2:$C$16,2,0)</f>
        <v>4503693.0282831918</v>
      </c>
      <c r="S451" s="749" t="s">
        <v>194</v>
      </c>
      <c r="T451" s="757" t="s">
        <v>195</v>
      </c>
      <c r="U451" s="756" t="s">
        <v>1283</v>
      </c>
      <c r="V451" s="756" t="s">
        <v>1288</v>
      </c>
      <c r="W451" s="756"/>
      <c r="X451" s="772" t="s">
        <v>194</v>
      </c>
      <c r="Y451" s="759">
        <v>0</v>
      </c>
      <c r="Z451" s="757">
        <v>0</v>
      </c>
      <c r="AA451" s="799" t="s">
        <v>194</v>
      </c>
      <c r="AB451" s="775"/>
      <c r="AC451" s="775"/>
      <c r="AD451" s="775"/>
      <c r="AE451" s="775"/>
      <c r="AF451" s="775"/>
      <c r="AG451" s="775"/>
      <c r="AH451" s="775"/>
      <c r="AI451" s="775"/>
      <c r="AJ451" s="775"/>
      <c r="AK451" s="775"/>
      <c r="AL451" s="775"/>
      <c r="AM451" s="775"/>
      <c r="AN451" s="775"/>
      <c r="AO451" s="775"/>
      <c r="AP451" s="775"/>
    </row>
    <row r="452" spans="1:42" s="141" customFormat="1" ht="27.75" customHeight="1">
      <c r="A452" s="868" t="s">
        <v>1291</v>
      </c>
      <c r="B452" s="868" t="s">
        <v>1273</v>
      </c>
      <c r="C452" s="867">
        <v>44704</v>
      </c>
      <c r="D452" s="868" t="s">
        <v>212</v>
      </c>
      <c r="E452" s="868" t="s">
        <v>221</v>
      </c>
      <c r="F452" s="859" t="s">
        <v>1292</v>
      </c>
      <c r="G452" s="875" t="s">
        <v>201</v>
      </c>
      <c r="H452" s="870" t="s">
        <v>260</v>
      </c>
      <c r="I452" s="793" t="s">
        <v>1293</v>
      </c>
      <c r="J452" s="658">
        <f>VLOOKUP($I452,Prices!A:B,2,0)</f>
        <v>1</v>
      </c>
      <c r="K452" s="790">
        <f>VLOOKUP(I452,Prices!A:C,3,0)</f>
        <v>0</v>
      </c>
      <c r="L452" s="643">
        <v>40</v>
      </c>
      <c r="M452" s="788" t="s">
        <v>194</v>
      </c>
      <c r="N452" s="708" t="str">
        <f>VLOOKUP($I452,Prices!A:D,4,0)</f>
        <v>.</v>
      </c>
      <c r="O452" s="769" t="s">
        <v>194</v>
      </c>
      <c r="P452" s="793" t="s">
        <v>194</v>
      </c>
      <c r="Q452" s="869" t="s">
        <v>194</v>
      </c>
      <c r="R452" s="869" t="s">
        <v>194</v>
      </c>
      <c r="S452" s="886" t="s">
        <v>194</v>
      </c>
      <c r="T452" s="870" t="s">
        <v>195</v>
      </c>
      <c r="U452" s="854" t="s">
        <v>1294</v>
      </c>
      <c r="V452" s="854" t="s">
        <v>1295</v>
      </c>
      <c r="W452" s="884" t="s">
        <v>194</v>
      </c>
      <c r="X452" s="896" t="s">
        <v>194</v>
      </c>
      <c r="Y452" s="878">
        <v>0</v>
      </c>
      <c r="Z452" s="870">
        <v>0</v>
      </c>
      <c r="AA452" s="894" t="s">
        <v>194</v>
      </c>
      <c r="AB452" s="775"/>
      <c r="AC452" s="775"/>
      <c r="AD452" s="775"/>
      <c r="AE452" s="775"/>
      <c r="AF452" s="775"/>
      <c r="AG452" s="775"/>
      <c r="AH452" s="775"/>
      <c r="AI452" s="775"/>
      <c r="AJ452" s="775"/>
      <c r="AK452" s="775"/>
      <c r="AL452" s="775"/>
      <c r="AM452" s="775"/>
      <c r="AN452" s="775"/>
      <c r="AO452" s="775"/>
      <c r="AP452" s="775"/>
    </row>
    <row r="453" spans="1:42" s="141" customFormat="1" ht="80.25" customHeight="1">
      <c r="A453" s="868"/>
      <c r="B453" s="868"/>
      <c r="C453" s="867"/>
      <c r="D453" s="868"/>
      <c r="E453" s="868"/>
      <c r="F453" s="859"/>
      <c r="G453" s="875"/>
      <c r="H453" s="870"/>
      <c r="I453" s="793" t="s">
        <v>1296</v>
      </c>
      <c r="J453" s="658">
        <f>VLOOKUP($I453,Prices!A:B,2,0)</f>
        <v>4.5</v>
      </c>
      <c r="K453" s="790">
        <f>VLOOKUP(I453,Prices!A:C,3,0)</f>
        <v>0</v>
      </c>
      <c r="L453" s="788" t="s">
        <v>224</v>
      </c>
      <c r="M453" s="788" t="s">
        <v>194</v>
      </c>
      <c r="N453" s="647" t="str">
        <f>VLOOKUP($I453,Prices!A:D,4,0)</f>
        <v>.</v>
      </c>
      <c r="O453" s="769" t="s">
        <v>194</v>
      </c>
      <c r="P453" s="793" t="s">
        <v>194</v>
      </c>
      <c r="Q453" s="869"/>
      <c r="R453" s="869"/>
      <c r="S453" s="886"/>
      <c r="T453" s="870"/>
      <c r="U453" s="854"/>
      <c r="V453" s="854"/>
      <c r="W453" s="884"/>
      <c r="X453" s="896"/>
      <c r="Y453" s="878"/>
      <c r="Z453" s="870"/>
      <c r="AA453" s="894"/>
      <c r="AB453" s="775"/>
      <c r="AC453" s="775"/>
      <c r="AD453" s="775"/>
      <c r="AE453" s="775"/>
      <c r="AF453" s="775"/>
      <c r="AG453" s="775"/>
      <c r="AH453" s="775"/>
      <c r="AI453" s="775"/>
      <c r="AJ453" s="775"/>
      <c r="AK453" s="775"/>
      <c r="AL453" s="775"/>
      <c r="AM453" s="775"/>
      <c r="AN453" s="775"/>
      <c r="AO453" s="775"/>
      <c r="AP453" s="775"/>
    </row>
    <row r="454" spans="1:42" s="141" customFormat="1" ht="81">
      <c r="A454" s="750" t="s">
        <v>1297</v>
      </c>
      <c r="B454" s="750" t="s">
        <v>1273</v>
      </c>
      <c r="C454" s="751">
        <v>44739</v>
      </c>
      <c r="D454" s="750" t="s">
        <v>212</v>
      </c>
      <c r="E454" s="750" t="s">
        <v>191</v>
      </c>
      <c r="F454" s="789" t="s">
        <v>1298</v>
      </c>
      <c r="G454" s="793">
        <v>4500000</v>
      </c>
      <c r="H454" s="754" t="s">
        <v>1282</v>
      </c>
      <c r="I454" s="819" t="s">
        <v>194</v>
      </c>
      <c r="J454" s="658" t="str">
        <f>VLOOKUP($I454,Prices!A:B,2,0)</f>
        <v>.</v>
      </c>
      <c r="K454" s="790" t="s">
        <v>194</v>
      </c>
      <c r="L454" s="644" t="s">
        <v>194</v>
      </c>
      <c r="M454" s="644" t="s">
        <v>194</v>
      </c>
      <c r="N454" s="643" t="s">
        <v>194</v>
      </c>
      <c r="O454" s="769" t="s">
        <v>194</v>
      </c>
      <c r="P454" s="793" t="s">
        <v>194</v>
      </c>
      <c r="Q454" s="772">
        <f>G454</f>
        <v>4500000</v>
      </c>
      <c r="R454" s="753">
        <f>Q454/VLOOKUP(H454,'Currency Conversion'!$B$2:$C$16,2,0)</f>
        <v>2702215.8169699153</v>
      </c>
      <c r="S454" s="755" t="s">
        <v>21</v>
      </c>
      <c r="T454" s="754" t="s">
        <v>240</v>
      </c>
      <c r="U454" s="756" t="s">
        <v>1284</v>
      </c>
      <c r="V454" s="797" t="s">
        <v>21</v>
      </c>
      <c r="W454" s="752" t="s">
        <v>21</v>
      </c>
      <c r="X454" s="814" t="s">
        <v>21</v>
      </c>
      <c r="Y454" s="754" t="s">
        <v>21</v>
      </c>
      <c r="Z454" s="754">
        <v>1</v>
      </c>
      <c r="AA454" s="754" t="s">
        <v>21</v>
      </c>
      <c r="AB454" s="614" t="s">
        <v>21</v>
      </c>
      <c r="AC454" s="614" t="s">
        <v>21</v>
      </c>
      <c r="AD454" s="614" t="s">
        <v>21</v>
      </c>
      <c r="AE454" s="614" t="s">
        <v>21</v>
      </c>
      <c r="AF454" s="614" t="s">
        <v>21</v>
      </c>
      <c r="AG454" s="614" t="s">
        <v>21</v>
      </c>
      <c r="AH454" s="614" t="s">
        <v>21</v>
      </c>
      <c r="AI454" s="614" t="s">
        <v>21</v>
      </c>
      <c r="AJ454" s="614" t="s">
        <v>21</v>
      </c>
      <c r="AK454" s="614" t="s">
        <v>21</v>
      </c>
      <c r="AL454" s="614" t="s">
        <v>21</v>
      </c>
      <c r="AM454" s="614" t="s">
        <v>21</v>
      </c>
      <c r="AN454" s="614" t="s">
        <v>21</v>
      </c>
      <c r="AO454" s="614" t="s">
        <v>21</v>
      </c>
      <c r="AP454" s="775"/>
    </row>
    <row r="455" spans="1:42" s="141" customFormat="1" ht="47.25">
      <c r="A455" s="775" t="s">
        <v>1299</v>
      </c>
      <c r="B455" s="775" t="s">
        <v>1273</v>
      </c>
      <c r="C455" s="780">
        <v>44620</v>
      </c>
      <c r="D455" s="775" t="s">
        <v>190</v>
      </c>
      <c r="E455" s="775" t="s">
        <v>191</v>
      </c>
      <c r="F455" s="656" t="s">
        <v>1300</v>
      </c>
      <c r="G455" s="777">
        <v>2000000</v>
      </c>
      <c r="H455" s="757" t="s">
        <v>1282</v>
      </c>
      <c r="I455" s="793" t="s">
        <v>194</v>
      </c>
      <c r="J455" s="658" t="str">
        <f>VLOOKUP($I455,Prices!A:B,2,0)</f>
        <v>.</v>
      </c>
      <c r="K455" s="790" t="s">
        <v>194</v>
      </c>
      <c r="L455" s="643" t="s">
        <v>194</v>
      </c>
      <c r="M455" s="788" t="s">
        <v>194</v>
      </c>
      <c r="N455" s="708" t="str">
        <f>VLOOKUP($I455,Prices!A:D,4,0)</f>
        <v>.</v>
      </c>
      <c r="O455" s="769" t="s">
        <v>194</v>
      </c>
      <c r="P455" s="793" t="s">
        <v>194</v>
      </c>
      <c r="Q455" s="772">
        <f>G455</f>
        <v>2000000</v>
      </c>
      <c r="R455" s="772">
        <f>Q455/VLOOKUP(H455,'Currency Conversion'!$B$2:$C$16,2,0)</f>
        <v>1200984.8075421846</v>
      </c>
      <c r="S455" s="749" t="s">
        <v>194</v>
      </c>
      <c r="T455" s="757" t="s">
        <v>195</v>
      </c>
      <c r="U455" s="756" t="s">
        <v>1283</v>
      </c>
      <c r="V455" s="756" t="s">
        <v>1301</v>
      </c>
      <c r="W455" s="756" t="s">
        <v>1302</v>
      </c>
      <c r="X455" s="772" t="s">
        <v>194</v>
      </c>
      <c r="Y455" s="759">
        <v>0</v>
      </c>
      <c r="Z455" s="757">
        <v>0</v>
      </c>
      <c r="AA455" s="799" t="s">
        <v>194</v>
      </c>
      <c r="AB455" s="775"/>
      <c r="AC455" s="775"/>
      <c r="AD455" s="775"/>
      <c r="AE455" s="775"/>
      <c r="AF455" s="775"/>
      <c r="AG455" s="775"/>
      <c r="AH455" s="775"/>
      <c r="AI455" s="775"/>
      <c r="AJ455" s="775"/>
      <c r="AK455" s="775"/>
      <c r="AL455" s="775"/>
      <c r="AM455" s="775"/>
      <c r="AN455" s="775"/>
      <c r="AO455" s="775"/>
      <c r="AP455" s="775"/>
    </row>
    <row r="456" spans="1:42" ht="162">
      <c r="A456" s="750" t="s">
        <v>1303</v>
      </c>
      <c r="B456" s="750" t="s">
        <v>1273</v>
      </c>
      <c r="C456" s="751">
        <v>44620</v>
      </c>
      <c r="D456" s="750" t="s">
        <v>190</v>
      </c>
      <c r="E456" s="750" t="s">
        <v>191</v>
      </c>
      <c r="F456" s="789" t="s">
        <v>1304</v>
      </c>
      <c r="G456" s="793">
        <v>2000000</v>
      </c>
      <c r="H456" s="754" t="s">
        <v>1282</v>
      </c>
      <c r="I456" s="819" t="s">
        <v>194</v>
      </c>
      <c r="J456" s="658" t="str">
        <f>VLOOKUP($I456,Prices!A:B,2,0)</f>
        <v>.</v>
      </c>
      <c r="K456" s="790" t="s">
        <v>194</v>
      </c>
      <c r="L456" s="643" t="s">
        <v>194</v>
      </c>
      <c r="M456" s="644" t="s">
        <v>194</v>
      </c>
      <c r="N456" s="644" t="s">
        <v>21</v>
      </c>
      <c r="O456" s="769" t="s">
        <v>194</v>
      </c>
      <c r="P456" s="793" t="s">
        <v>194</v>
      </c>
      <c r="Q456" s="772">
        <f>G456</f>
        <v>2000000</v>
      </c>
      <c r="R456" s="753">
        <f>Q456/VLOOKUP(H456,'Currency Conversion'!$B$2:$C$16,2,0)</f>
        <v>1200984.8075421846</v>
      </c>
      <c r="S456" s="755" t="s">
        <v>21</v>
      </c>
      <c r="T456" s="754" t="s">
        <v>240</v>
      </c>
      <c r="U456" s="756" t="s">
        <v>1283</v>
      </c>
      <c r="V456" s="797" t="s">
        <v>21</v>
      </c>
      <c r="W456" s="797" t="s">
        <v>21</v>
      </c>
      <c r="X456" s="614" t="s">
        <v>21</v>
      </c>
      <c r="Y456" s="754">
        <v>0</v>
      </c>
      <c r="Z456" s="754">
        <v>1</v>
      </c>
      <c r="AA456" s="754" t="s">
        <v>21</v>
      </c>
      <c r="AB456" s="614" t="s">
        <v>21</v>
      </c>
      <c r="AC456" s="614" t="s">
        <v>21</v>
      </c>
      <c r="AD456" s="614" t="s">
        <v>21</v>
      </c>
      <c r="AE456" s="614" t="s">
        <v>21</v>
      </c>
      <c r="AF456" s="614" t="s">
        <v>21</v>
      </c>
      <c r="AG456" s="614" t="s">
        <v>21</v>
      </c>
      <c r="AH456" s="614" t="s">
        <v>21</v>
      </c>
      <c r="AI456" s="614" t="s">
        <v>21</v>
      </c>
      <c r="AJ456" s="614" t="s">
        <v>21</v>
      </c>
      <c r="AK456" s="614" t="s">
        <v>21</v>
      </c>
      <c r="AL456" s="614" t="s">
        <v>21</v>
      </c>
      <c r="AM456" s="614" t="s">
        <v>21</v>
      </c>
      <c r="AN456" s="614" t="s">
        <v>21</v>
      </c>
      <c r="AO456" s="614" t="s">
        <v>21</v>
      </c>
      <c r="AP456" s="767"/>
    </row>
    <row r="457" spans="1:42" s="141" customFormat="1" ht="62.25" customHeight="1">
      <c r="A457" s="775" t="s">
        <v>1305</v>
      </c>
      <c r="B457" s="775" t="s">
        <v>1306</v>
      </c>
      <c r="C457" s="780">
        <v>44620</v>
      </c>
      <c r="D457" s="775" t="s">
        <v>212</v>
      </c>
      <c r="E457" s="775" t="s">
        <v>320</v>
      </c>
      <c r="F457" s="773" t="s">
        <v>1307</v>
      </c>
      <c r="G457" s="777" t="s">
        <v>201</v>
      </c>
      <c r="H457" s="757" t="s">
        <v>260</v>
      </c>
      <c r="I457" s="775" t="s">
        <v>323</v>
      </c>
      <c r="J457" s="658">
        <f>VLOOKUP($I457,Prices!A:B,2,0)</f>
        <v>3</v>
      </c>
      <c r="K457" s="790">
        <f>VLOOKUP(I457,Prices!A:C,3,0)</f>
        <v>0</v>
      </c>
      <c r="L457" s="788">
        <v>2000</v>
      </c>
      <c r="M457" s="788">
        <v>2000</v>
      </c>
      <c r="N457" s="647">
        <f>VLOOKUP($I457,Prices!A:D,4,0)</f>
        <v>2000</v>
      </c>
      <c r="O457" s="769">
        <f t="shared" si="28"/>
        <v>4000000</v>
      </c>
      <c r="P457" s="793">
        <f t="shared" si="29"/>
        <v>4000000</v>
      </c>
      <c r="Q457" s="772">
        <f>O457</f>
        <v>4000000</v>
      </c>
      <c r="R457" s="772">
        <f>Q457/VLOOKUP(H457,'Currency Conversion'!$B$2:$C$16,2,0)</f>
        <v>3787878.7878787876</v>
      </c>
      <c r="S457" s="749">
        <f>R457</f>
        <v>3787878.7878787876</v>
      </c>
      <c r="T457" s="757" t="s">
        <v>195</v>
      </c>
      <c r="U457" s="756" t="s">
        <v>1308</v>
      </c>
      <c r="V457" s="756" t="s">
        <v>1309</v>
      </c>
      <c r="W457" s="756" t="s">
        <v>1310</v>
      </c>
      <c r="X457" s="772" t="s">
        <v>194</v>
      </c>
      <c r="Y457" s="759">
        <v>0</v>
      </c>
      <c r="Z457" s="757">
        <v>0</v>
      </c>
      <c r="AA457" s="762" t="s">
        <v>1311</v>
      </c>
      <c r="AB457" s="775"/>
      <c r="AC457" s="775"/>
      <c r="AD457" s="775"/>
      <c r="AE457" s="775"/>
      <c r="AF457" s="775"/>
      <c r="AG457" s="775"/>
      <c r="AH457" s="775"/>
      <c r="AI457" s="775"/>
      <c r="AJ457" s="775"/>
      <c r="AK457" s="775"/>
      <c r="AL457" s="775"/>
      <c r="AM457" s="775"/>
      <c r="AN457" s="775"/>
      <c r="AO457" s="775"/>
      <c r="AP457" s="775"/>
    </row>
    <row r="458" spans="1:42" s="141" customFormat="1" ht="72" customHeight="1">
      <c r="A458" s="775" t="s">
        <v>1312</v>
      </c>
      <c r="B458" s="775" t="s">
        <v>1306</v>
      </c>
      <c r="C458" s="780">
        <v>44651</v>
      </c>
      <c r="D458" s="775" t="s">
        <v>212</v>
      </c>
      <c r="E458" s="775" t="s">
        <v>320</v>
      </c>
      <c r="F458" s="773" t="s">
        <v>1313</v>
      </c>
      <c r="G458" s="777" t="s">
        <v>201</v>
      </c>
      <c r="H458" s="757" t="s">
        <v>260</v>
      </c>
      <c r="I458" s="775" t="s">
        <v>323</v>
      </c>
      <c r="J458" s="658">
        <f>VLOOKUP($I458,Prices!A:B,2,0)</f>
        <v>3</v>
      </c>
      <c r="K458" s="790">
        <f>VLOOKUP(I458,Prices!A:C,3,0)</f>
        <v>0</v>
      </c>
      <c r="L458" s="788">
        <v>2000</v>
      </c>
      <c r="M458" s="788">
        <v>2000</v>
      </c>
      <c r="N458" s="707">
        <f>VLOOKUP($I458,Prices!A:D,4,0)</f>
        <v>2000</v>
      </c>
      <c r="O458" s="769">
        <f t="shared" si="28"/>
        <v>4000000</v>
      </c>
      <c r="P458" s="793">
        <f t="shared" si="29"/>
        <v>4000000</v>
      </c>
      <c r="Q458" s="772">
        <f>O458</f>
        <v>4000000</v>
      </c>
      <c r="R458" s="772">
        <f>Q458/VLOOKUP(H458,'Currency Conversion'!$B$2:$C$16,2,0)</f>
        <v>3787878.7878787876</v>
      </c>
      <c r="S458" s="749">
        <f>R458</f>
        <v>3787878.7878787876</v>
      </c>
      <c r="T458" s="757" t="s">
        <v>195</v>
      </c>
      <c r="U458" s="756" t="s">
        <v>1314</v>
      </c>
      <c r="V458" s="756" t="s">
        <v>1309</v>
      </c>
      <c r="W458" s="756" t="s">
        <v>1310</v>
      </c>
      <c r="X458" s="772" t="s">
        <v>194</v>
      </c>
      <c r="Y458" s="759">
        <v>0</v>
      </c>
      <c r="Z458" s="757">
        <v>0</v>
      </c>
      <c r="AA458" s="762" t="s">
        <v>1311</v>
      </c>
      <c r="AB458" s="775"/>
      <c r="AC458" s="775"/>
      <c r="AD458" s="775"/>
      <c r="AE458" s="775"/>
      <c r="AF458" s="775"/>
      <c r="AG458" s="775"/>
      <c r="AH458" s="775"/>
      <c r="AI458" s="775"/>
      <c r="AJ458" s="775"/>
      <c r="AK458" s="775"/>
      <c r="AL458" s="775"/>
      <c r="AM458" s="775"/>
      <c r="AN458" s="775"/>
      <c r="AO458" s="775"/>
      <c r="AP458" s="775"/>
    </row>
    <row r="459" spans="1:42" s="141" customFormat="1" ht="30.75" customHeight="1">
      <c r="A459" s="868" t="s">
        <v>1315</v>
      </c>
      <c r="B459" s="868" t="s">
        <v>1306</v>
      </c>
      <c r="C459" s="867">
        <v>44671</v>
      </c>
      <c r="D459" s="868" t="s">
        <v>212</v>
      </c>
      <c r="E459" s="868" t="s">
        <v>320</v>
      </c>
      <c r="F459" s="890" t="s">
        <v>1316</v>
      </c>
      <c r="G459" s="875" t="s">
        <v>201</v>
      </c>
      <c r="H459" s="870" t="s">
        <v>260</v>
      </c>
      <c r="I459" s="775" t="s">
        <v>1317</v>
      </c>
      <c r="J459" s="658">
        <f>VLOOKUP($I459,Prices!A:B,2,0)</f>
        <v>4</v>
      </c>
      <c r="K459" s="790">
        <f>VLOOKUP(I459,Prices!A:C,3,0)</f>
        <v>0</v>
      </c>
      <c r="L459" s="788" t="s">
        <v>224</v>
      </c>
      <c r="M459" s="788"/>
      <c r="N459" s="647" t="str">
        <f>VLOOKUP($I459,Prices!A:D,4,0)</f>
        <v>.</v>
      </c>
      <c r="O459" s="769" t="s">
        <v>194</v>
      </c>
      <c r="P459" s="793" t="s">
        <v>194</v>
      </c>
      <c r="Q459" s="869">
        <f>SUM(O459:O460)</f>
        <v>260000000</v>
      </c>
      <c r="R459" s="869">
        <f>Q459/VLOOKUP(H459,'Currency Conversion'!$B$2:$C$16,2,0)</f>
        <v>246212121.21212119</v>
      </c>
      <c r="S459" s="886">
        <f>SUMIFS(P459:P460,P459:P460,"&lt;&gt;#VALUE!")/VLOOKUP(H459,'Currency Conversion'!B:C,2,0)</f>
        <v>246212121.21212119</v>
      </c>
      <c r="T459" s="870" t="s">
        <v>195</v>
      </c>
      <c r="U459" s="854" t="s">
        <v>1310</v>
      </c>
      <c r="V459" s="854" t="s">
        <v>1318</v>
      </c>
      <c r="W459" s="890" t="s">
        <v>194</v>
      </c>
      <c r="X459" s="869" t="s">
        <v>194</v>
      </c>
      <c r="Y459" s="878">
        <v>0</v>
      </c>
      <c r="Z459" s="870">
        <v>0</v>
      </c>
      <c r="AA459" s="799" t="s">
        <v>194</v>
      </c>
      <c r="AB459" s="775"/>
      <c r="AC459" s="775"/>
      <c r="AD459" s="775"/>
      <c r="AE459" s="775"/>
      <c r="AF459" s="775"/>
      <c r="AG459" s="775"/>
      <c r="AH459" s="775"/>
      <c r="AI459" s="775"/>
      <c r="AJ459" s="775"/>
      <c r="AK459" s="775"/>
      <c r="AL459" s="775"/>
      <c r="AM459" s="775"/>
      <c r="AN459" s="775"/>
      <c r="AO459" s="775"/>
      <c r="AP459" s="775"/>
    </row>
    <row r="460" spans="1:42" s="141" customFormat="1" ht="31.5" customHeight="1">
      <c r="A460" s="868"/>
      <c r="B460" s="868"/>
      <c r="C460" s="867"/>
      <c r="D460" s="868"/>
      <c r="E460" s="868"/>
      <c r="F460" s="890"/>
      <c r="G460" s="875"/>
      <c r="H460" s="870"/>
      <c r="I460" s="775" t="s">
        <v>1319</v>
      </c>
      <c r="J460" s="658">
        <f>VLOOKUP($I460,Prices!A:B,2,0)</f>
        <v>4.5</v>
      </c>
      <c r="K460" s="790">
        <f>VLOOKUP(I460,Prices!A:C,3,0)</f>
        <v>0</v>
      </c>
      <c r="L460" s="788">
        <v>100</v>
      </c>
      <c r="M460" s="788">
        <v>100</v>
      </c>
      <c r="N460" s="707">
        <f>VLOOKUP($I460,Prices!A:D,4,0)</f>
        <v>2600000</v>
      </c>
      <c r="O460" s="769">
        <f t="shared" si="28"/>
        <v>260000000</v>
      </c>
      <c r="P460" s="793">
        <f t="shared" si="29"/>
        <v>260000000</v>
      </c>
      <c r="Q460" s="869"/>
      <c r="R460" s="869"/>
      <c r="S460" s="886"/>
      <c r="T460" s="870"/>
      <c r="U460" s="854"/>
      <c r="V460" s="854"/>
      <c r="W460" s="890"/>
      <c r="X460" s="869"/>
      <c r="Y460" s="878"/>
      <c r="Z460" s="870"/>
      <c r="AA460" s="762" t="s">
        <v>1320</v>
      </c>
      <c r="AB460" s="775"/>
      <c r="AC460" s="775"/>
      <c r="AD460" s="775"/>
      <c r="AE460" s="775"/>
      <c r="AF460" s="775"/>
      <c r="AG460" s="775"/>
      <c r="AH460" s="775"/>
      <c r="AI460" s="775"/>
      <c r="AJ460" s="775"/>
      <c r="AK460" s="775"/>
      <c r="AL460" s="775"/>
      <c r="AM460" s="775"/>
      <c r="AN460" s="775"/>
      <c r="AO460" s="775"/>
      <c r="AP460" s="775"/>
    </row>
    <row r="461" spans="1:42" s="141" customFormat="1" ht="24.75" customHeight="1">
      <c r="A461" s="868" t="s">
        <v>1321</v>
      </c>
      <c r="B461" s="868" t="s">
        <v>1306</v>
      </c>
      <c r="C461" s="868" t="s">
        <v>1322</v>
      </c>
      <c r="D461" s="868" t="s">
        <v>212</v>
      </c>
      <c r="E461" s="868" t="s">
        <v>221</v>
      </c>
      <c r="F461" s="890" t="s">
        <v>1323</v>
      </c>
      <c r="G461" s="875" t="s">
        <v>201</v>
      </c>
      <c r="H461" s="870" t="s">
        <v>260</v>
      </c>
      <c r="I461" s="775" t="s">
        <v>348</v>
      </c>
      <c r="J461" s="658">
        <f>VLOOKUP($I461,Prices!A:B,2,0)</f>
        <v>1</v>
      </c>
      <c r="K461" s="790">
        <f>VLOOKUP(I461,Prices!A:C,3,0)</f>
        <v>0</v>
      </c>
      <c r="L461" s="788">
        <v>1500</v>
      </c>
      <c r="M461" s="788">
        <v>1500</v>
      </c>
      <c r="N461" s="647">
        <f>VLOOKUP($I461,Prices!A:D,4,0)</f>
        <v>500</v>
      </c>
      <c r="O461" s="769">
        <f t="shared" si="28"/>
        <v>750000</v>
      </c>
      <c r="P461" s="793">
        <f t="shared" si="29"/>
        <v>750000</v>
      </c>
      <c r="Q461" s="869">
        <f>SUM(O461:O467)</f>
        <v>8421500</v>
      </c>
      <c r="R461" s="869">
        <f>Q461/VLOOKUP(H461,'Currency Conversion'!$B$2:$C$16,2,0)</f>
        <v>7974905.3030303027</v>
      </c>
      <c r="S461" s="886">
        <f>SUMIFS(P461:P467,P461:P467,"&lt;&gt;#VALUE!")/VLOOKUP(H461,'Currency Conversion'!B:C,2,0)</f>
        <v>7974905.3030303027</v>
      </c>
      <c r="T461" s="870" t="s">
        <v>195</v>
      </c>
      <c r="U461" s="854" t="s">
        <v>1318</v>
      </c>
      <c r="V461" s="854" t="s">
        <v>1324</v>
      </c>
      <c r="W461" s="890" t="s">
        <v>194</v>
      </c>
      <c r="X461" s="881" t="s">
        <v>194</v>
      </c>
      <c r="Y461" s="878">
        <v>0</v>
      </c>
      <c r="Z461" s="870">
        <v>0</v>
      </c>
      <c r="AA461" s="899" t="s">
        <v>1325</v>
      </c>
      <c r="AB461" s="775"/>
      <c r="AC461" s="775"/>
      <c r="AD461" s="775"/>
      <c r="AE461" s="775"/>
      <c r="AF461" s="775"/>
      <c r="AG461" s="775"/>
      <c r="AH461" s="775"/>
      <c r="AI461" s="775"/>
      <c r="AJ461" s="775"/>
      <c r="AK461" s="775"/>
      <c r="AL461" s="775"/>
      <c r="AM461" s="775"/>
      <c r="AN461" s="775"/>
      <c r="AO461" s="775"/>
      <c r="AP461" s="775"/>
    </row>
    <row r="462" spans="1:42" s="141" customFormat="1">
      <c r="A462" s="868"/>
      <c r="B462" s="868"/>
      <c r="C462" s="868"/>
      <c r="D462" s="868"/>
      <c r="E462" s="868"/>
      <c r="F462" s="890"/>
      <c r="G462" s="875"/>
      <c r="H462" s="870"/>
      <c r="I462" s="775" t="s">
        <v>344</v>
      </c>
      <c r="J462" s="658">
        <f>VLOOKUP($I462,Prices!A:B,2,0)</f>
        <v>1</v>
      </c>
      <c r="K462" s="790">
        <f>VLOOKUP(I462,Prices!A:C,3,0)</f>
        <v>0</v>
      </c>
      <c r="L462" s="788">
        <v>5000</v>
      </c>
      <c r="M462" s="788">
        <v>5000</v>
      </c>
      <c r="N462" s="708">
        <f>VLOOKUP($I462,Prices!A:D,4,0)</f>
        <v>1400</v>
      </c>
      <c r="O462" s="769">
        <f t="shared" ref="O462:O525" si="31">L462*N462</f>
        <v>7000000</v>
      </c>
      <c r="P462" s="793">
        <f t="shared" si="29"/>
        <v>7000000</v>
      </c>
      <c r="Q462" s="869"/>
      <c r="R462" s="869"/>
      <c r="S462" s="886"/>
      <c r="T462" s="870"/>
      <c r="U462" s="890"/>
      <c r="V462" s="890"/>
      <c r="W462" s="890"/>
      <c r="X462" s="881"/>
      <c r="Y462" s="878"/>
      <c r="Z462" s="870"/>
      <c r="AA462" s="899"/>
      <c r="AB462" s="775"/>
      <c r="AC462" s="775"/>
      <c r="AD462" s="775"/>
      <c r="AE462" s="775"/>
      <c r="AF462" s="775"/>
      <c r="AG462" s="775"/>
      <c r="AH462" s="775"/>
      <c r="AI462" s="775"/>
      <c r="AJ462" s="775"/>
      <c r="AK462" s="775"/>
      <c r="AL462" s="775"/>
      <c r="AM462" s="775"/>
      <c r="AN462" s="775"/>
      <c r="AO462" s="775"/>
      <c r="AP462" s="775"/>
    </row>
    <row r="463" spans="1:42" s="141" customFormat="1">
      <c r="A463" s="868"/>
      <c r="B463" s="868"/>
      <c r="C463" s="868"/>
      <c r="D463" s="868"/>
      <c r="E463" s="868"/>
      <c r="F463" s="890"/>
      <c r="G463" s="875"/>
      <c r="H463" s="870"/>
      <c r="I463" s="775" t="s">
        <v>745</v>
      </c>
      <c r="J463" s="658">
        <f>VLOOKUP($I463,Prices!A:B,2,0)</f>
        <v>1</v>
      </c>
      <c r="K463" s="790">
        <f>VLOOKUP(I463,Prices!A:C,3,0)</f>
        <v>0</v>
      </c>
      <c r="L463" s="788">
        <v>15000</v>
      </c>
      <c r="M463" s="788">
        <v>15000</v>
      </c>
      <c r="N463" s="647">
        <f>VLOOKUP($I463,Prices!A:D,4,0)</f>
        <v>8</v>
      </c>
      <c r="O463" s="769">
        <f t="shared" si="31"/>
        <v>120000</v>
      </c>
      <c r="P463" s="793">
        <f t="shared" ref="P463:P516" si="32">$M463*$N463</f>
        <v>120000</v>
      </c>
      <c r="Q463" s="869"/>
      <c r="R463" s="869"/>
      <c r="S463" s="886"/>
      <c r="T463" s="870"/>
      <c r="U463" s="890"/>
      <c r="V463" s="890"/>
      <c r="W463" s="890"/>
      <c r="X463" s="881"/>
      <c r="Y463" s="878"/>
      <c r="Z463" s="870"/>
      <c r="AA463" s="899"/>
      <c r="AB463" s="775"/>
      <c r="AC463" s="775"/>
      <c r="AD463" s="775"/>
      <c r="AE463" s="775"/>
      <c r="AF463" s="775"/>
      <c r="AG463" s="775"/>
      <c r="AH463" s="775"/>
      <c r="AI463" s="775"/>
      <c r="AJ463" s="775"/>
      <c r="AK463" s="775"/>
      <c r="AL463" s="775"/>
      <c r="AM463" s="775"/>
      <c r="AN463" s="775"/>
      <c r="AO463" s="775"/>
      <c r="AP463" s="775"/>
    </row>
    <row r="464" spans="1:42" s="141" customFormat="1">
      <c r="A464" s="868"/>
      <c r="B464" s="868"/>
      <c r="C464" s="868"/>
      <c r="D464" s="868"/>
      <c r="E464" s="868"/>
      <c r="F464" s="890"/>
      <c r="G464" s="875"/>
      <c r="H464" s="870"/>
      <c r="I464" s="775" t="s">
        <v>1099</v>
      </c>
      <c r="J464" s="658">
        <f>VLOOKUP($I464,Prices!A:B,2,0)</f>
        <v>1</v>
      </c>
      <c r="K464" s="790">
        <f>VLOOKUP(I464,Prices!A:C,3,0)</f>
        <v>0</v>
      </c>
      <c r="L464" s="788">
        <v>1000</v>
      </c>
      <c r="M464" s="788">
        <v>1000</v>
      </c>
      <c r="N464" s="708">
        <f>VLOOKUP($I464,Prices!A:D,4,0)</f>
        <v>1.5</v>
      </c>
      <c r="O464" s="769">
        <f t="shared" si="31"/>
        <v>1500</v>
      </c>
      <c r="P464" s="793">
        <f t="shared" si="32"/>
        <v>1500</v>
      </c>
      <c r="Q464" s="869"/>
      <c r="R464" s="869"/>
      <c r="S464" s="886"/>
      <c r="T464" s="870"/>
      <c r="U464" s="890"/>
      <c r="V464" s="890"/>
      <c r="W464" s="890"/>
      <c r="X464" s="881"/>
      <c r="Y464" s="878"/>
      <c r="Z464" s="870"/>
      <c r="AA464" s="899"/>
      <c r="AB464" s="775"/>
      <c r="AC464" s="775"/>
      <c r="AD464" s="775"/>
      <c r="AE464" s="775"/>
      <c r="AF464" s="775"/>
      <c r="AG464" s="775"/>
      <c r="AH464" s="775"/>
      <c r="AI464" s="775"/>
      <c r="AJ464" s="775"/>
      <c r="AK464" s="775"/>
      <c r="AL464" s="775"/>
      <c r="AM464" s="775"/>
      <c r="AN464" s="775"/>
      <c r="AO464" s="775"/>
      <c r="AP464" s="775"/>
    </row>
    <row r="465" spans="1:42" s="141" customFormat="1">
      <c r="A465" s="868"/>
      <c r="B465" s="868"/>
      <c r="C465" s="868"/>
      <c r="D465" s="868"/>
      <c r="E465" s="868"/>
      <c r="F465" s="890"/>
      <c r="G465" s="875"/>
      <c r="H465" s="870"/>
      <c r="I465" s="775" t="s">
        <v>268</v>
      </c>
      <c r="J465" s="658">
        <f>VLOOKUP($I465,Prices!A:B,2,0)</f>
        <v>0</v>
      </c>
      <c r="K465" s="790">
        <f>VLOOKUP(I465,Prices!A:C,3,0)</f>
        <v>0</v>
      </c>
      <c r="L465" s="788">
        <v>2000</v>
      </c>
      <c r="M465" s="788">
        <v>2000</v>
      </c>
      <c r="N465" s="647">
        <f>VLOOKUP($I465,Prices!A:D,4,0)</f>
        <v>75</v>
      </c>
      <c r="O465" s="769">
        <f t="shared" si="31"/>
        <v>150000</v>
      </c>
      <c r="P465" s="793">
        <f t="shared" si="32"/>
        <v>150000</v>
      </c>
      <c r="Q465" s="869"/>
      <c r="R465" s="869"/>
      <c r="S465" s="886"/>
      <c r="T465" s="870"/>
      <c r="U465" s="890"/>
      <c r="V465" s="890"/>
      <c r="W465" s="890"/>
      <c r="X465" s="881"/>
      <c r="Y465" s="878"/>
      <c r="Z465" s="870"/>
      <c r="AA465" s="899"/>
      <c r="AB465" s="775"/>
      <c r="AC465" s="775"/>
      <c r="AD465" s="775"/>
      <c r="AE465" s="775"/>
      <c r="AF465" s="775"/>
      <c r="AG465" s="775"/>
      <c r="AH465" s="775"/>
      <c r="AI465" s="775"/>
      <c r="AJ465" s="775"/>
      <c r="AK465" s="775"/>
      <c r="AL465" s="775"/>
      <c r="AM465" s="775"/>
      <c r="AN465" s="775"/>
      <c r="AO465" s="775"/>
      <c r="AP465" s="775"/>
    </row>
    <row r="466" spans="1:42" s="141" customFormat="1">
      <c r="A466" s="868"/>
      <c r="B466" s="868"/>
      <c r="C466" s="868"/>
      <c r="D466" s="868"/>
      <c r="E466" s="868"/>
      <c r="F466" s="890"/>
      <c r="G466" s="875"/>
      <c r="H466" s="870"/>
      <c r="I466" s="775" t="s">
        <v>1326</v>
      </c>
      <c r="J466" s="658">
        <f>VLOOKUP($I466,Prices!A:B,2,0)</f>
        <v>0</v>
      </c>
      <c r="K466" s="790">
        <f>VLOOKUP(I466,Prices!A:C,3,0)</f>
        <v>0</v>
      </c>
      <c r="L466" s="788">
        <v>10000</v>
      </c>
      <c r="M466" s="788">
        <v>10000</v>
      </c>
      <c r="N466" s="708">
        <f>VLOOKUP($I466,Prices!A:D,4,0)</f>
        <v>40</v>
      </c>
      <c r="O466" s="769">
        <f t="shared" si="31"/>
        <v>400000</v>
      </c>
      <c r="P466" s="793">
        <f t="shared" si="32"/>
        <v>400000</v>
      </c>
      <c r="Q466" s="869"/>
      <c r="R466" s="869"/>
      <c r="S466" s="886"/>
      <c r="T466" s="870"/>
      <c r="U466" s="890"/>
      <c r="V466" s="890"/>
      <c r="W466" s="890"/>
      <c r="X466" s="881"/>
      <c r="Y466" s="878"/>
      <c r="Z466" s="870"/>
      <c r="AA466" s="899"/>
      <c r="AB466" s="775"/>
      <c r="AC466" s="775"/>
      <c r="AD466" s="775"/>
      <c r="AE466" s="775"/>
      <c r="AF466" s="775"/>
      <c r="AG466" s="775"/>
      <c r="AH466" s="775"/>
      <c r="AI466" s="775"/>
      <c r="AJ466" s="775"/>
      <c r="AK466" s="775"/>
      <c r="AL466" s="775"/>
      <c r="AM466" s="775"/>
      <c r="AN466" s="775"/>
      <c r="AO466" s="775"/>
      <c r="AP466" s="775"/>
    </row>
    <row r="467" spans="1:42" s="141" customFormat="1" ht="15.75" customHeight="1">
      <c r="A467" s="868"/>
      <c r="B467" s="868"/>
      <c r="C467" s="868"/>
      <c r="D467" s="868"/>
      <c r="E467" s="868"/>
      <c r="F467" s="890"/>
      <c r="G467" s="875"/>
      <c r="H467" s="870"/>
      <c r="I467" s="775" t="s">
        <v>1327</v>
      </c>
      <c r="J467" s="658">
        <f>VLOOKUP($I467,Prices!A:B,2,0)</f>
        <v>0</v>
      </c>
      <c r="K467" s="790">
        <f>VLOOKUP(I467,Prices!A:C,3,0)</f>
        <v>0</v>
      </c>
      <c r="L467" s="788" t="s">
        <v>224</v>
      </c>
      <c r="M467" s="788" t="s">
        <v>194</v>
      </c>
      <c r="N467" s="647" t="str">
        <f>VLOOKUP($I467,Prices!A:D,4,0)</f>
        <v>.</v>
      </c>
      <c r="O467" s="769" t="s">
        <v>194</v>
      </c>
      <c r="P467" s="793" t="s">
        <v>194</v>
      </c>
      <c r="Q467" s="869"/>
      <c r="R467" s="869"/>
      <c r="S467" s="886"/>
      <c r="T467" s="870"/>
      <c r="U467" s="890"/>
      <c r="V467" s="890"/>
      <c r="W467" s="890"/>
      <c r="X467" s="881"/>
      <c r="Y467" s="878"/>
      <c r="Z467" s="870"/>
      <c r="AA467" s="899"/>
      <c r="AB467" s="775"/>
      <c r="AC467" s="775"/>
      <c r="AD467" s="775"/>
      <c r="AE467" s="775"/>
      <c r="AF467" s="775"/>
      <c r="AG467" s="775"/>
      <c r="AH467" s="775"/>
      <c r="AI467" s="775"/>
      <c r="AJ467" s="775"/>
      <c r="AK467" s="775"/>
      <c r="AL467" s="775"/>
      <c r="AM467" s="775"/>
      <c r="AN467" s="775"/>
      <c r="AO467" s="775"/>
      <c r="AP467" s="775"/>
    </row>
    <row r="468" spans="1:42" s="141" customFormat="1" ht="96" customHeight="1">
      <c r="A468" s="775" t="s">
        <v>1328</v>
      </c>
      <c r="B468" s="775" t="s">
        <v>1306</v>
      </c>
      <c r="C468" s="775" t="s">
        <v>1322</v>
      </c>
      <c r="D468" s="775" t="s">
        <v>212</v>
      </c>
      <c r="E468" s="775" t="s">
        <v>1329</v>
      </c>
      <c r="F468" s="773" t="s">
        <v>1330</v>
      </c>
      <c r="G468" s="777">
        <v>400000000</v>
      </c>
      <c r="H468" s="757" t="s">
        <v>1331</v>
      </c>
      <c r="I468" s="793" t="s">
        <v>194</v>
      </c>
      <c r="J468" s="658" t="str">
        <f>VLOOKUP($I468,Prices!A:B,2,0)</f>
        <v>.</v>
      </c>
      <c r="K468" s="790" t="s">
        <v>194</v>
      </c>
      <c r="L468" s="643" t="s">
        <v>194</v>
      </c>
      <c r="M468" s="788" t="s">
        <v>194</v>
      </c>
      <c r="N468" s="707" t="s">
        <v>194</v>
      </c>
      <c r="O468" s="769" t="s">
        <v>194</v>
      </c>
      <c r="P468" s="793" t="s">
        <v>194</v>
      </c>
      <c r="Q468" s="772">
        <f>G468</f>
        <v>400000000</v>
      </c>
      <c r="R468" s="772">
        <f>Q468/VLOOKUP(H468,'Currency Conversion'!$B$2:$C$16,2,0)</f>
        <v>38834574.421607554</v>
      </c>
      <c r="S468" s="749" t="s">
        <v>194</v>
      </c>
      <c r="T468" s="757" t="s">
        <v>195</v>
      </c>
      <c r="U468" s="756" t="s">
        <v>1318</v>
      </c>
      <c r="V468" s="756" t="s">
        <v>1309</v>
      </c>
      <c r="W468" s="773" t="s">
        <v>194</v>
      </c>
      <c r="X468" s="785" t="s">
        <v>194</v>
      </c>
      <c r="Y468" s="759">
        <v>0</v>
      </c>
      <c r="Z468" s="757">
        <v>0</v>
      </c>
      <c r="AA468" s="799" t="s">
        <v>194</v>
      </c>
      <c r="AB468" s="775"/>
      <c r="AC468" s="775"/>
      <c r="AD468" s="775"/>
      <c r="AE468" s="775"/>
      <c r="AF468" s="775"/>
      <c r="AG468" s="775"/>
      <c r="AH468" s="775"/>
      <c r="AI468" s="775"/>
      <c r="AJ468" s="775"/>
      <c r="AK468" s="775"/>
      <c r="AL468" s="775"/>
      <c r="AM468" s="775"/>
      <c r="AN468" s="775"/>
      <c r="AO468" s="775"/>
      <c r="AP468" s="775"/>
    </row>
    <row r="469" spans="1:42" s="141" customFormat="1" ht="23.25" customHeight="1">
      <c r="A469" s="868" t="s">
        <v>1332</v>
      </c>
      <c r="B469" s="868" t="s">
        <v>1306</v>
      </c>
      <c r="C469" s="867" t="s">
        <v>667</v>
      </c>
      <c r="D469" s="868" t="s">
        <v>212</v>
      </c>
      <c r="E469" s="868" t="s">
        <v>213</v>
      </c>
      <c r="F469" s="859" t="s">
        <v>1333</v>
      </c>
      <c r="G469" s="869" t="s">
        <v>259</v>
      </c>
      <c r="H469" s="870" t="s">
        <v>260</v>
      </c>
      <c r="I469" s="777" t="s">
        <v>1334</v>
      </c>
      <c r="J469" s="658">
        <f>VLOOKUP($I469,Prices!A:B,2,0)</f>
        <v>4</v>
      </c>
      <c r="K469" s="790">
        <f>VLOOKUP(I469,Prices!A:C,3,0)</f>
        <v>0</v>
      </c>
      <c r="L469" s="643">
        <v>22</v>
      </c>
      <c r="M469" s="788">
        <v>22</v>
      </c>
      <c r="N469" s="647">
        <f>VLOOKUP($I469,Prices!A:D,4,0)</f>
        <v>7500000</v>
      </c>
      <c r="O469" s="769">
        <f t="shared" si="31"/>
        <v>165000000</v>
      </c>
      <c r="P469" s="793">
        <f t="shared" si="32"/>
        <v>165000000</v>
      </c>
      <c r="Q469" s="869">
        <f>SUM(P469:P472)</f>
        <v>184450000</v>
      </c>
      <c r="R469" s="869">
        <f>Q469/VLOOKUP(H469,'Currency Conversion'!$B$2:$C$16,2,0)</f>
        <v>174668560.60606059</v>
      </c>
      <c r="S469" s="886">
        <f>R469</f>
        <v>174668560.60606059</v>
      </c>
      <c r="T469" s="870" t="s">
        <v>240</v>
      </c>
      <c r="U469" s="854" t="s">
        <v>1335</v>
      </c>
      <c r="V469" s="854" t="s">
        <v>1336</v>
      </c>
      <c r="W469" s="854" t="s">
        <v>1337</v>
      </c>
      <c r="X469" s="913" t="s">
        <v>1338</v>
      </c>
      <c r="Y469" s="878">
        <v>0</v>
      </c>
      <c r="Z469" s="870">
        <v>0</v>
      </c>
      <c r="AA469" s="899" t="s">
        <v>1335</v>
      </c>
      <c r="AB469" s="775"/>
      <c r="AC469" s="775"/>
      <c r="AD469" s="775"/>
      <c r="AE469" s="775"/>
      <c r="AF469" s="775"/>
      <c r="AG469" s="775"/>
      <c r="AH469" s="775"/>
      <c r="AI469" s="775"/>
      <c r="AJ469" s="775"/>
      <c r="AK469" s="775"/>
      <c r="AL469" s="775"/>
      <c r="AM469" s="775"/>
      <c r="AN469" s="775"/>
      <c r="AO469" s="775"/>
      <c r="AP469" s="775"/>
    </row>
    <row r="470" spans="1:42" s="141" customFormat="1" ht="24.75" customHeight="1">
      <c r="A470" s="868"/>
      <c r="B470" s="868"/>
      <c r="C470" s="868"/>
      <c r="D470" s="868"/>
      <c r="E470" s="868"/>
      <c r="F470" s="859"/>
      <c r="G470" s="869"/>
      <c r="H470" s="870"/>
      <c r="I470" s="777" t="s">
        <v>1339</v>
      </c>
      <c r="J470" s="658">
        <f>VLOOKUP($I470,Prices!A:B,2,0)</f>
        <v>4.5</v>
      </c>
      <c r="K470" s="790">
        <f>VLOOKUP(I470,Prices!A:C,3,0)</f>
        <v>0</v>
      </c>
      <c r="L470" s="643" t="s">
        <v>224</v>
      </c>
      <c r="M470" s="788" t="s">
        <v>224</v>
      </c>
      <c r="N470" s="708" t="str">
        <f>VLOOKUP($I470,Prices!A:D,4,0)</f>
        <v>.</v>
      </c>
      <c r="O470" s="769" t="s">
        <v>194</v>
      </c>
      <c r="P470" s="793" t="s">
        <v>194</v>
      </c>
      <c r="Q470" s="869"/>
      <c r="R470" s="869"/>
      <c r="S470" s="886"/>
      <c r="T470" s="870"/>
      <c r="U470" s="854"/>
      <c r="V470" s="854"/>
      <c r="W470" s="854"/>
      <c r="X470" s="914"/>
      <c r="Y470" s="878"/>
      <c r="Z470" s="870"/>
      <c r="AA470" s="899"/>
      <c r="AB470" s="775"/>
      <c r="AC470" s="775"/>
      <c r="AD470" s="775"/>
      <c r="AE470" s="775"/>
      <c r="AF470" s="775"/>
      <c r="AG470" s="775"/>
      <c r="AH470" s="775"/>
      <c r="AI470" s="775"/>
      <c r="AJ470" s="775"/>
      <c r="AK470" s="775"/>
      <c r="AL470" s="775"/>
      <c r="AM470" s="775"/>
      <c r="AN470" s="775"/>
      <c r="AO470" s="775"/>
      <c r="AP470" s="775"/>
    </row>
    <row r="471" spans="1:42" s="141" customFormat="1" ht="20.25" customHeight="1">
      <c r="A471" s="868"/>
      <c r="B471" s="868"/>
      <c r="C471" s="868"/>
      <c r="D471" s="868"/>
      <c r="E471" s="868"/>
      <c r="F471" s="859"/>
      <c r="G471" s="869"/>
      <c r="H471" s="870"/>
      <c r="I471" s="777" t="s">
        <v>1340</v>
      </c>
      <c r="J471" s="658">
        <f>VLOOKUP($I471,Prices!A:B,2,0)</f>
        <v>4.5</v>
      </c>
      <c r="K471" s="790">
        <f>VLOOKUP(I471,Prices!A:C,3,0)</f>
        <v>0</v>
      </c>
      <c r="L471" s="643" t="s">
        <v>224</v>
      </c>
      <c r="M471" s="788" t="s">
        <v>224</v>
      </c>
      <c r="N471" s="647" t="str">
        <f>VLOOKUP($I471,Prices!A:D,4,0)</f>
        <v>.</v>
      </c>
      <c r="O471" s="769" t="s">
        <v>194</v>
      </c>
      <c r="P471" s="793" t="s">
        <v>194</v>
      </c>
      <c r="Q471" s="869"/>
      <c r="R471" s="869"/>
      <c r="S471" s="886"/>
      <c r="T471" s="870"/>
      <c r="U471" s="854"/>
      <c r="V471" s="854"/>
      <c r="W471" s="854"/>
      <c r="X471" s="914"/>
      <c r="Y471" s="878"/>
      <c r="Z471" s="870"/>
      <c r="AA471" s="899"/>
      <c r="AB471" s="775"/>
      <c r="AC471" s="775"/>
      <c r="AD471" s="775"/>
      <c r="AE471" s="775"/>
      <c r="AF471" s="775"/>
      <c r="AG471" s="775"/>
      <c r="AH471" s="775"/>
      <c r="AI471" s="775"/>
      <c r="AJ471" s="775"/>
      <c r="AK471" s="775"/>
      <c r="AL471" s="775"/>
      <c r="AM471" s="775"/>
      <c r="AN471" s="775"/>
      <c r="AO471" s="775"/>
      <c r="AP471" s="775"/>
    </row>
    <row r="472" spans="1:42" s="141" customFormat="1" ht="24.75" customHeight="1">
      <c r="A472" s="868"/>
      <c r="B472" s="868"/>
      <c r="C472" s="868"/>
      <c r="D472" s="868"/>
      <c r="E472" s="868"/>
      <c r="F472" s="859"/>
      <c r="G472" s="869"/>
      <c r="H472" s="870"/>
      <c r="I472" s="546" t="s">
        <v>438</v>
      </c>
      <c r="J472" s="658">
        <f>VLOOKUP($I472,Prices!A:B,2,0)</f>
        <v>4.5</v>
      </c>
      <c r="K472" s="790">
        <f>VLOOKUP(I472,Prices!A:C,3,0)</f>
        <v>0</v>
      </c>
      <c r="L472" s="643">
        <v>5000</v>
      </c>
      <c r="M472" s="788">
        <v>5000</v>
      </c>
      <c r="N472" s="708">
        <f>VLOOKUP($I472,Prices!A:D,4,0)</f>
        <v>3890</v>
      </c>
      <c r="O472" s="769">
        <f t="shared" si="31"/>
        <v>19450000</v>
      </c>
      <c r="P472" s="793">
        <f t="shared" si="32"/>
        <v>19450000</v>
      </c>
      <c r="Q472" s="869"/>
      <c r="R472" s="869"/>
      <c r="S472" s="886"/>
      <c r="T472" s="870"/>
      <c r="U472" s="854"/>
      <c r="V472" s="854"/>
      <c r="W472" s="854"/>
      <c r="X472" s="914"/>
      <c r="Y472" s="878"/>
      <c r="Z472" s="870"/>
      <c r="AA472" s="899"/>
      <c r="AB472" s="775"/>
      <c r="AC472" s="775"/>
      <c r="AD472" s="775"/>
      <c r="AE472" s="775"/>
      <c r="AF472" s="775"/>
      <c r="AG472" s="775"/>
      <c r="AH472" s="775"/>
      <c r="AI472" s="775"/>
      <c r="AJ472" s="775"/>
      <c r="AK472" s="775"/>
      <c r="AL472" s="775"/>
      <c r="AM472" s="775"/>
      <c r="AN472" s="775"/>
      <c r="AO472" s="775"/>
      <c r="AP472" s="775"/>
    </row>
    <row r="473" spans="1:42" s="141" customFormat="1" ht="30" customHeight="1">
      <c r="A473" s="750" t="s">
        <v>1341</v>
      </c>
      <c r="B473" s="750" t="s">
        <v>1306</v>
      </c>
      <c r="C473" s="751">
        <v>44741</v>
      </c>
      <c r="D473" s="750" t="s">
        <v>212</v>
      </c>
      <c r="E473" s="750" t="s">
        <v>213</v>
      </c>
      <c r="F473" s="752" t="s">
        <v>1342</v>
      </c>
      <c r="G473" s="753" t="s">
        <v>259</v>
      </c>
      <c r="H473" s="754" t="s">
        <v>260</v>
      </c>
      <c r="I473" s="819" t="s">
        <v>438</v>
      </c>
      <c r="J473" s="658">
        <f>VLOOKUP($I473,Prices!A:B,2,0)</f>
        <v>4.5</v>
      </c>
      <c r="K473" s="790">
        <f>VLOOKUP(I473,Prices!A:C,3,0)</f>
        <v>0</v>
      </c>
      <c r="L473" s="643">
        <v>5000</v>
      </c>
      <c r="M473" s="644" t="s">
        <v>21</v>
      </c>
      <c r="N473" s="708">
        <f>VLOOKUP($I473,Prices!A:D,4,0)</f>
        <v>3890</v>
      </c>
      <c r="O473" s="769">
        <f t="shared" si="31"/>
        <v>19450000</v>
      </c>
      <c r="P473" s="793" t="s">
        <v>194</v>
      </c>
      <c r="Q473" s="753">
        <f>O473</f>
        <v>19450000</v>
      </c>
      <c r="R473" s="772">
        <f>Q473/VLOOKUP(H473,'Currency Conversion'!$B$2:$C$16,2,0)</f>
        <v>18418560.606060605</v>
      </c>
      <c r="S473" s="755" t="s">
        <v>21</v>
      </c>
      <c r="T473" s="754" t="s">
        <v>240</v>
      </c>
      <c r="U473" s="756" t="s">
        <v>1343</v>
      </c>
      <c r="V473" s="797" t="s">
        <v>21</v>
      </c>
      <c r="W473" s="797" t="s">
        <v>21</v>
      </c>
      <c r="X473" s="684" t="s">
        <v>21</v>
      </c>
      <c r="Y473" s="754">
        <v>0</v>
      </c>
      <c r="Z473" s="754">
        <v>1</v>
      </c>
      <c r="AA473" s="685" t="s">
        <v>21</v>
      </c>
      <c r="AB473" s="614" t="s">
        <v>21</v>
      </c>
      <c r="AC473" s="614" t="s">
        <v>21</v>
      </c>
      <c r="AD473" s="614" t="s">
        <v>21</v>
      </c>
      <c r="AE473" s="614" t="s">
        <v>21</v>
      </c>
      <c r="AF473" s="614" t="s">
        <v>21</v>
      </c>
      <c r="AG473" s="614" t="s">
        <v>21</v>
      </c>
      <c r="AH473" s="614" t="s">
        <v>21</v>
      </c>
      <c r="AI473" s="614" t="s">
        <v>21</v>
      </c>
      <c r="AJ473" s="614" t="s">
        <v>21</v>
      </c>
      <c r="AK473" s="614" t="s">
        <v>21</v>
      </c>
      <c r="AL473" s="614" t="s">
        <v>21</v>
      </c>
      <c r="AM473" s="614" t="s">
        <v>21</v>
      </c>
      <c r="AN473" s="614" t="s">
        <v>21</v>
      </c>
      <c r="AO473" s="614" t="s">
        <v>21</v>
      </c>
      <c r="AP473" s="775"/>
    </row>
    <row r="474" spans="1:42" s="141" customFormat="1" ht="30.75" customHeight="1">
      <c r="A474" s="775" t="s">
        <v>1344</v>
      </c>
      <c r="B474" s="775" t="s">
        <v>1306</v>
      </c>
      <c r="C474" s="775" t="s">
        <v>1322</v>
      </c>
      <c r="D474" s="775" t="s">
        <v>190</v>
      </c>
      <c r="E474" s="775" t="s">
        <v>1345</v>
      </c>
      <c r="F474" s="773" t="s">
        <v>1346</v>
      </c>
      <c r="G474" s="777">
        <v>265000000</v>
      </c>
      <c r="H474" s="757" t="s">
        <v>1331</v>
      </c>
      <c r="I474" s="793" t="s">
        <v>194</v>
      </c>
      <c r="J474" s="658" t="str">
        <f>VLOOKUP($I474,Prices!A:B,2,0)</f>
        <v>.</v>
      </c>
      <c r="K474" s="790" t="s">
        <v>194</v>
      </c>
      <c r="L474" s="643" t="s">
        <v>194</v>
      </c>
      <c r="M474" s="788" t="s">
        <v>194</v>
      </c>
      <c r="N474" s="647" t="str">
        <f>VLOOKUP($I474,Prices!A:D,4,0)</f>
        <v>.</v>
      </c>
      <c r="O474" s="769" t="s">
        <v>194</v>
      </c>
      <c r="P474" s="793" t="s">
        <v>194</v>
      </c>
      <c r="Q474" s="772">
        <f t="shared" ref="Q474:Q478" si="33">G474</f>
        <v>265000000</v>
      </c>
      <c r="R474" s="772">
        <f>Q474/VLOOKUP(H474,'Currency Conversion'!$B$2:$C$16,2,0)</f>
        <v>25727905.554315004</v>
      </c>
      <c r="S474" s="749" t="s">
        <v>194</v>
      </c>
      <c r="T474" s="757" t="s">
        <v>195</v>
      </c>
      <c r="U474" s="756" t="s">
        <v>1347</v>
      </c>
      <c r="V474" s="756" t="s">
        <v>1348</v>
      </c>
      <c r="W474" s="773" t="s">
        <v>194</v>
      </c>
      <c r="X474" s="784" t="s">
        <v>194</v>
      </c>
      <c r="Y474" s="759">
        <v>0</v>
      </c>
      <c r="Z474" s="757">
        <v>0</v>
      </c>
      <c r="AA474" s="799" t="s">
        <v>194</v>
      </c>
      <c r="AB474" s="775"/>
      <c r="AC474" s="775"/>
      <c r="AD474" s="775"/>
      <c r="AE474" s="775"/>
      <c r="AF474" s="775"/>
      <c r="AG474" s="775"/>
      <c r="AH474" s="775"/>
      <c r="AI474" s="775"/>
      <c r="AJ474" s="775"/>
      <c r="AK474" s="775"/>
      <c r="AL474" s="775"/>
      <c r="AM474" s="775"/>
      <c r="AN474" s="775"/>
      <c r="AO474" s="775"/>
      <c r="AP474" s="775"/>
    </row>
    <row r="475" spans="1:42" s="141" customFormat="1" ht="63">
      <c r="A475" s="775" t="s">
        <v>1349</v>
      </c>
      <c r="B475" s="775" t="s">
        <v>1306</v>
      </c>
      <c r="C475" s="775" t="s">
        <v>1322</v>
      </c>
      <c r="D475" s="775" t="s">
        <v>190</v>
      </c>
      <c r="E475" s="775" t="s">
        <v>1345</v>
      </c>
      <c r="F475" s="773" t="s">
        <v>1350</v>
      </c>
      <c r="G475" s="777">
        <v>100000000</v>
      </c>
      <c r="H475" s="757" t="s">
        <v>1331</v>
      </c>
      <c r="I475" s="793" t="s">
        <v>194</v>
      </c>
      <c r="J475" s="658" t="str">
        <f>VLOOKUP($I475,Prices!A:B,2,0)</f>
        <v>.</v>
      </c>
      <c r="K475" s="790" t="s">
        <v>194</v>
      </c>
      <c r="L475" s="643" t="s">
        <v>194</v>
      </c>
      <c r="M475" s="788" t="s">
        <v>194</v>
      </c>
      <c r="N475" s="708" t="str">
        <f>VLOOKUP($I475,Prices!A:D,4,0)</f>
        <v>.</v>
      </c>
      <c r="O475" s="769" t="s">
        <v>194</v>
      </c>
      <c r="P475" s="793" t="s">
        <v>194</v>
      </c>
      <c r="Q475" s="772">
        <f t="shared" si="33"/>
        <v>100000000</v>
      </c>
      <c r="R475" s="772">
        <f>Q475/VLOOKUP(H475,'Currency Conversion'!$B$2:$C$16,2,0)</f>
        <v>9708643.6054018885</v>
      </c>
      <c r="S475" s="749" t="s">
        <v>194</v>
      </c>
      <c r="T475" s="757" t="s">
        <v>195</v>
      </c>
      <c r="U475" s="756" t="s">
        <v>1318</v>
      </c>
      <c r="V475" s="773" t="s">
        <v>194</v>
      </c>
      <c r="W475" s="773" t="s">
        <v>194</v>
      </c>
      <c r="X475" s="784" t="s">
        <v>194</v>
      </c>
      <c r="Y475" s="759">
        <v>0</v>
      </c>
      <c r="Z475" s="757">
        <v>0</v>
      </c>
      <c r="AA475" s="799" t="s">
        <v>194</v>
      </c>
      <c r="AB475" s="775"/>
      <c r="AC475" s="775"/>
      <c r="AD475" s="775"/>
      <c r="AE475" s="775"/>
      <c r="AF475" s="775"/>
      <c r="AG475" s="775"/>
      <c r="AH475" s="775"/>
      <c r="AI475" s="775"/>
      <c r="AJ475" s="775"/>
      <c r="AK475" s="775"/>
      <c r="AL475" s="775"/>
      <c r="AM475" s="775"/>
      <c r="AN475" s="775"/>
      <c r="AO475" s="775"/>
      <c r="AP475" s="775"/>
    </row>
    <row r="476" spans="1:42" s="141" customFormat="1" ht="94.5">
      <c r="A476" s="750" t="s">
        <v>1351</v>
      </c>
      <c r="B476" s="750" t="s">
        <v>1306</v>
      </c>
      <c r="C476" s="751">
        <v>44725</v>
      </c>
      <c r="D476" s="750" t="s">
        <v>190</v>
      </c>
      <c r="E476" s="750" t="s">
        <v>191</v>
      </c>
      <c r="F476" s="789" t="s">
        <v>1352</v>
      </c>
      <c r="G476" s="793" t="s">
        <v>259</v>
      </c>
      <c r="H476" s="754" t="s">
        <v>1331</v>
      </c>
      <c r="I476" s="819" t="s">
        <v>194</v>
      </c>
      <c r="J476" s="658" t="str">
        <f>VLOOKUP($I476,Prices!A:B,2,0)</f>
        <v>.</v>
      </c>
      <c r="K476" s="790" t="s">
        <v>194</v>
      </c>
      <c r="L476" s="643" t="s">
        <v>21</v>
      </c>
      <c r="M476" s="644" t="s">
        <v>21</v>
      </c>
      <c r="N476" s="644" t="s">
        <v>21</v>
      </c>
      <c r="O476" s="769" t="s">
        <v>194</v>
      </c>
      <c r="P476" s="793" t="s">
        <v>194</v>
      </c>
      <c r="Q476" s="753" t="s">
        <v>194</v>
      </c>
      <c r="R476" s="753" t="s">
        <v>194</v>
      </c>
      <c r="S476" s="755" t="s">
        <v>194</v>
      </c>
      <c r="T476" s="754" t="s">
        <v>240</v>
      </c>
      <c r="U476" s="756" t="s">
        <v>1353</v>
      </c>
      <c r="V476" s="756" t="s">
        <v>1318</v>
      </c>
      <c r="W476" s="752" t="s">
        <v>21</v>
      </c>
      <c r="X476" s="814" t="s">
        <v>21</v>
      </c>
      <c r="Y476" s="754">
        <v>0</v>
      </c>
      <c r="Z476" s="754">
        <v>1</v>
      </c>
      <c r="AA476" s="754" t="s">
        <v>21</v>
      </c>
      <c r="AB476" s="614" t="s">
        <v>21</v>
      </c>
      <c r="AC476" s="614" t="s">
        <v>21</v>
      </c>
      <c r="AD476" s="614" t="s">
        <v>21</v>
      </c>
      <c r="AE476" s="614" t="s">
        <v>21</v>
      </c>
      <c r="AF476" s="614" t="s">
        <v>21</v>
      </c>
      <c r="AG476" s="614" t="s">
        <v>21</v>
      </c>
      <c r="AH476" s="614" t="s">
        <v>21</v>
      </c>
      <c r="AI476" s="614" t="s">
        <v>21</v>
      </c>
      <c r="AJ476" s="614" t="s">
        <v>21</v>
      </c>
      <c r="AK476" s="614" t="s">
        <v>21</v>
      </c>
      <c r="AL476" s="614" t="s">
        <v>21</v>
      </c>
      <c r="AM476" s="614" t="s">
        <v>21</v>
      </c>
      <c r="AN476" s="614" t="s">
        <v>21</v>
      </c>
      <c r="AO476" s="614" t="s">
        <v>21</v>
      </c>
      <c r="AP476" s="775"/>
    </row>
    <row r="477" spans="1:42" s="141" customFormat="1" ht="47.25" customHeight="1">
      <c r="A477" s="775" t="s">
        <v>1354</v>
      </c>
      <c r="B477" s="775" t="s">
        <v>1306</v>
      </c>
      <c r="C477" s="775" t="s">
        <v>1355</v>
      </c>
      <c r="D477" s="775" t="s">
        <v>292</v>
      </c>
      <c r="E477" s="775" t="s">
        <v>276</v>
      </c>
      <c r="F477" s="773" t="s">
        <v>1356</v>
      </c>
      <c r="G477" s="777">
        <v>300000000</v>
      </c>
      <c r="H477" s="757" t="s">
        <v>1331</v>
      </c>
      <c r="I477" s="793" t="s">
        <v>194</v>
      </c>
      <c r="J477" s="658" t="str">
        <f>VLOOKUP($I477,Prices!A:B,2,0)</f>
        <v>.</v>
      </c>
      <c r="K477" s="790" t="s">
        <v>194</v>
      </c>
      <c r="L477" s="643" t="s">
        <v>194</v>
      </c>
      <c r="M477" s="788" t="s">
        <v>194</v>
      </c>
      <c r="N477" s="647" t="str">
        <f>VLOOKUP($I477,Prices!A:D,4,0)</f>
        <v>.</v>
      </c>
      <c r="O477" s="769" t="s">
        <v>194</v>
      </c>
      <c r="P477" s="793" t="s">
        <v>194</v>
      </c>
      <c r="Q477" s="772">
        <f t="shared" si="33"/>
        <v>300000000</v>
      </c>
      <c r="R477" s="772">
        <f>Q477/VLOOKUP(H477,'Currency Conversion'!$B$2:$C$16,2,0)</f>
        <v>29125930.816205665</v>
      </c>
      <c r="S477" s="749" t="s">
        <v>194</v>
      </c>
      <c r="T477" s="757" t="s">
        <v>195</v>
      </c>
      <c r="U477" s="756" t="s">
        <v>1318</v>
      </c>
      <c r="V477" s="756" t="s">
        <v>1357</v>
      </c>
      <c r="W477" s="756" t="s">
        <v>1358</v>
      </c>
      <c r="X477" s="784" t="s">
        <v>194</v>
      </c>
      <c r="Y477" s="759">
        <v>1</v>
      </c>
      <c r="Z477" s="757">
        <v>0</v>
      </c>
      <c r="AA477" s="799" t="s">
        <v>194</v>
      </c>
      <c r="AB477" s="775"/>
      <c r="AC477" s="775"/>
      <c r="AD477" s="775"/>
      <c r="AE477" s="775"/>
      <c r="AF477" s="775"/>
      <c r="AG477" s="775"/>
      <c r="AH477" s="775"/>
      <c r="AI477" s="775"/>
      <c r="AJ477" s="775"/>
      <c r="AK477" s="775"/>
      <c r="AL477" s="775"/>
      <c r="AM477" s="775"/>
      <c r="AN477" s="775"/>
      <c r="AO477" s="775"/>
      <c r="AP477" s="775"/>
    </row>
    <row r="478" spans="1:42" s="141" customFormat="1" ht="47.25" customHeight="1">
      <c r="A478" s="775" t="s">
        <v>1359</v>
      </c>
      <c r="B478" s="775" t="s">
        <v>1306</v>
      </c>
      <c r="C478" s="780">
        <v>44693</v>
      </c>
      <c r="D478" s="775" t="s">
        <v>292</v>
      </c>
      <c r="E478" s="775" t="s">
        <v>276</v>
      </c>
      <c r="F478" s="773" t="s">
        <v>1360</v>
      </c>
      <c r="G478" s="777">
        <v>50000000</v>
      </c>
      <c r="H478" s="757" t="s">
        <v>1331</v>
      </c>
      <c r="I478" s="793" t="s">
        <v>194</v>
      </c>
      <c r="J478" s="658" t="str">
        <f>VLOOKUP($I478,Prices!A:B,2,0)</f>
        <v>.</v>
      </c>
      <c r="K478" s="790" t="s">
        <v>194</v>
      </c>
      <c r="L478" s="643" t="s">
        <v>194</v>
      </c>
      <c r="M478" s="788" t="s">
        <v>194</v>
      </c>
      <c r="N478" s="708" t="str">
        <f>VLOOKUP($I478,Prices!A:D,4,0)</f>
        <v>.</v>
      </c>
      <c r="O478" s="769" t="s">
        <v>194</v>
      </c>
      <c r="P478" s="793" t="s">
        <v>194</v>
      </c>
      <c r="Q478" s="772">
        <f t="shared" si="33"/>
        <v>50000000</v>
      </c>
      <c r="R478" s="772">
        <f>Q478/VLOOKUP(H478,'Currency Conversion'!$B$2:$C$16,2,0)</f>
        <v>4854321.8027009442</v>
      </c>
      <c r="S478" s="749" t="s">
        <v>194</v>
      </c>
      <c r="T478" s="757" t="s">
        <v>240</v>
      </c>
      <c r="U478" s="797" t="s">
        <v>1361</v>
      </c>
      <c r="V478" s="797" t="s">
        <v>1362</v>
      </c>
      <c r="W478" s="773" t="s">
        <v>194</v>
      </c>
      <c r="X478" s="784" t="s">
        <v>194</v>
      </c>
      <c r="Y478" s="759">
        <v>0</v>
      </c>
      <c r="Z478" s="757">
        <v>0</v>
      </c>
      <c r="AA478" s="799" t="s">
        <v>194</v>
      </c>
      <c r="AB478" s="775"/>
      <c r="AC478" s="775"/>
      <c r="AD478" s="775"/>
      <c r="AE478" s="775"/>
      <c r="AF478" s="775"/>
      <c r="AG478" s="775"/>
      <c r="AH478" s="775"/>
      <c r="AI478" s="775"/>
      <c r="AJ478" s="775"/>
      <c r="AK478" s="775"/>
      <c r="AL478" s="775"/>
      <c r="AM478" s="775"/>
      <c r="AN478" s="775"/>
      <c r="AO478" s="775"/>
      <c r="AP478" s="775"/>
    </row>
    <row r="479" spans="1:42" s="141" customFormat="1" ht="79.5" customHeight="1">
      <c r="A479" s="775" t="s">
        <v>1363</v>
      </c>
      <c r="B479" s="775" t="s">
        <v>1364</v>
      </c>
      <c r="C479" s="780">
        <v>44653</v>
      </c>
      <c r="D479" s="775" t="s">
        <v>190</v>
      </c>
      <c r="E479" s="775" t="s">
        <v>199</v>
      </c>
      <c r="F479" s="773" t="s">
        <v>1365</v>
      </c>
      <c r="G479" s="777" t="s">
        <v>201</v>
      </c>
      <c r="H479" s="757" t="s">
        <v>260</v>
      </c>
      <c r="I479" s="775" t="s">
        <v>492</v>
      </c>
      <c r="J479" s="658">
        <f>VLOOKUP($I479,Prices!A:B,2,0)</f>
        <v>0</v>
      </c>
      <c r="K479" s="790">
        <f>VLOOKUP(I479,Prices!A:C,3,0)</f>
        <v>0</v>
      </c>
      <c r="L479" s="788">
        <v>1500</v>
      </c>
      <c r="M479" s="665" t="s">
        <v>194</v>
      </c>
      <c r="N479" s="647">
        <f>VLOOKUP($I479,Prices!A:D,4,0)</f>
        <v>2000</v>
      </c>
      <c r="O479" s="769">
        <f t="shared" si="31"/>
        <v>3000000</v>
      </c>
      <c r="P479" s="793" t="s">
        <v>194</v>
      </c>
      <c r="Q479" s="772">
        <f>O479</f>
        <v>3000000</v>
      </c>
      <c r="R479" s="778">
        <f>Q479/VLOOKUP(H479, 'Currency Conversion'!B:C, 2, 0)</f>
        <v>2840909.0909090908</v>
      </c>
      <c r="S479" s="790" t="s">
        <v>194</v>
      </c>
      <c r="T479" s="757" t="s">
        <v>195</v>
      </c>
      <c r="U479" s="756" t="s">
        <v>1366</v>
      </c>
      <c r="V479" s="756" t="s">
        <v>1367</v>
      </c>
      <c r="W479" s="756" t="s">
        <v>1368</v>
      </c>
      <c r="X479" s="784" t="s">
        <v>194</v>
      </c>
      <c r="Y479" s="759">
        <v>0</v>
      </c>
      <c r="Z479" s="757">
        <v>0</v>
      </c>
      <c r="AA479" s="813" t="s">
        <v>194</v>
      </c>
      <c r="AB479" s="775"/>
      <c r="AC479" s="775"/>
      <c r="AD479" s="775"/>
      <c r="AE479" s="775"/>
      <c r="AF479" s="775"/>
      <c r="AG479" s="775"/>
      <c r="AH479" s="775"/>
      <c r="AI479" s="775"/>
      <c r="AJ479" s="775"/>
      <c r="AK479" s="775"/>
      <c r="AL479" s="775"/>
      <c r="AM479" s="775"/>
      <c r="AN479" s="775"/>
      <c r="AO479" s="775"/>
      <c r="AP479" s="775"/>
    </row>
    <row r="480" spans="1:42" s="141" customFormat="1" ht="87" customHeight="1">
      <c r="A480" s="775" t="s">
        <v>1369</v>
      </c>
      <c r="B480" s="775" t="s">
        <v>1364</v>
      </c>
      <c r="C480" s="780">
        <v>44686</v>
      </c>
      <c r="D480" s="775" t="s">
        <v>190</v>
      </c>
      <c r="E480" s="775" t="s">
        <v>199</v>
      </c>
      <c r="F480" s="773" t="s">
        <v>1370</v>
      </c>
      <c r="G480" s="777">
        <v>100000000</v>
      </c>
      <c r="H480" s="757" t="s">
        <v>278</v>
      </c>
      <c r="I480" s="775" t="s">
        <v>194</v>
      </c>
      <c r="J480" s="658" t="str">
        <f>VLOOKUP($I480,Prices!A:B,2,0)</f>
        <v>.</v>
      </c>
      <c r="K480" s="790" t="s">
        <v>194</v>
      </c>
      <c r="L480" s="788" t="s">
        <v>194</v>
      </c>
      <c r="M480" s="665" t="s">
        <v>194</v>
      </c>
      <c r="N480" s="708" t="str">
        <f>VLOOKUP($I480,Prices!A:D,4,0)</f>
        <v>.</v>
      </c>
      <c r="O480" s="769" t="s">
        <v>194</v>
      </c>
      <c r="P480" s="793" t="s">
        <v>194</v>
      </c>
      <c r="Q480" s="772">
        <f>G480</f>
        <v>100000000</v>
      </c>
      <c r="R480" s="778">
        <f>Q480/VLOOKUP(H480, 'Currency Conversion'!B:C, 2, 0)</f>
        <v>100000000</v>
      </c>
      <c r="S480" s="790" t="s">
        <v>194</v>
      </c>
      <c r="T480" s="757" t="s">
        <v>240</v>
      </c>
      <c r="U480" s="756" t="s">
        <v>312</v>
      </c>
      <c r="V480" s="773" t="s">
        <v>194</v>
      </c>
      <c r="W480" s="773" t="s">
        <v>194</v>
      </c>
      <c r="X480" s="784" t="s">
        <v>194</v>
      </c>
      <c r="Y480" s="759">
        <v>0</v>
      </c>
      <c r="Z480" s="757">
        <v>0</v>
      </c>
      <c r="AA480" s="813" t="s">
        <v>194</v>
      </c>
      <c r="AB480" s="775"/>
      <c r="AC480" s="775"/>
      <c r="AD480" s="775"/>
      <c r="AE480" s="775"/>
      <c r="AF480" s="775"/>
      <c r="AG480" s="775"/>
      <c r="AH480" s="775"/>
      <c r="AI480" s="775"/>
      <c r="AJ480" s="775"/>
      <c r="AK480" s="775"/>
      <c r="AL480" s="775"/>
      <c r="AM480" s="775"/>
      <c r="AN480" s="775"/>
      <c r="AO480" s="775"/>
      <c r="AP480" s="775"/>
    </row>
    <row r="481" spans="1:42" s="717" customFormat="1" ht="20.100000000000001" customHeight="1">
      <c r="A481" s="750" t="s">
        <v>1371</v>
      </c>
      <c r="B481" s="750" t="s">
        <v>1364</v>
      </c>
      <c r="C481" s="751">
        <v>44609</v>
      </c>
      <c r="D481" s="750" t="s">
        <v>212</v>
      </c>
      <c r="E481" s="750" t="s">
        <v>213</v>
      </c>
      <c r="F481" s="814" t="s">
        <v>1372</v>
      </c>
      <c r="G481" s="793" t="s">
        <v>259</v>
      </c>
      <c r="H481" s="754" t="s">
        <v>194</v>
      </c>
      <c r="I481" s="750" t="s">
        <v>194</v>
      </c>
      <c r="J481" s="658" t="str">
        <f>VLOOKUP($I481,Prices!A:B,2,0)</f>
        <v>.</v>
      </c>
      <c r="K481" s="790" t="s">
        <v>194</v>
      </c>
      <c r="L481" s="644" t="s">
        <v>194</v>
      </c>
      <c r="M481" s="644" t="s">
        <v>21</v>
      </c>
      <c r="N481" s="643" t="s">
        <v>194</v>
      </c>
      <c r="O481" s="769" t="s">
        <v>194</v>
      </c>
      <c r="P481" s="793" t="s">
        <v>194</v>
      </c>
      <c r="Q481" s="753" t="s">
        <v>194</v>
      </c>
      <c r="R481" s="753" t="s">
        <v>194</v>
      </c>
      <c r="S481" s="755" t="s">
        <v>194</v>
      </c>
      <c r="T481" s="754" t="s">
        <v>240</v>
      </c>
      <c r="U481" s="779" t="s">
        <v>1373</v>
      </c>
      <c r="V481" s="819" t="s">
        <v>194</v>
      </c>
      <c r="W481" s="819" t="s">
        <v>194</v>
      </c>
      <c r="X481" s="814" t="s">
        <v>194</v>
      </c>
      <c r="Y481" s="754">
        <v>0</v>
      </c>
      <c r="Z481" s="754">
        <v>0</v>
      </c>
      <c r="AA481" s="754" t="s">
        <v>194</v>
      </c>
      <c r="AB481" s="614" t="s">
        <v>21</v>
      </c>
      <c r="AC481" s="614" t="s">
        <v>21</v>
      </c>
      <c r="AD481" s="614" t="s">
        <v>21</v>
      </c>
      <c r="AE481" s="614" t="s">
        <v>21</v>
      </c>
      <c r="AF481" s="614" t="s">
        <v>21</v>
      </c>
      <c r="AG481" s="614" t="s">
        <v>21</v>
      </c>
      <c r="AH481" s="614" t="s">
        <v>21</v>
      </c>
      <c r="AI481" s="614" t="s">
        <v>21</v>
      </c>
      <c r="AJ481" s="614" t="s">
        <v>21</v>
      </c>
      <c r="AK481" s="614" t="s">
        <v>21</v>
      </c>
      <c r="AL481" s="614" t="s">
        <v>21</v>
      </c>
      <c r="AM481" s="614" t="s">
        <v>21</v>
      </c>
      <c r="AN481" s="614" t="s">
        <v>21</v>
      </c>
      <c r="AO481" s="614" t="s">
        <v>21</v>
      </c>
      <c r="AP481" s="775"/>
    </row>
    <row r="482" spans="1:42" s="141" customFormat="1" ht="23.25" customHeight="1">
      <c r="A482" s="848" t="s">
        <v>1374</v>
      </c>
      <c r="B482" s="848" t="s">
        <v>1364</v>
      </c>
      <c r="C482" s="848" t="s">
        <v>1375</v>
      </c>
      <c r="D482" s="848" t="s">
        <v>212</v>
      </c>
      <c r="E482" s="848" t="s">
        <v>213</v>
      </c>
      <c r="F482" s="859" t="s">
        <v>1376</v>
      </c>
      <c r="G482" s="872">
        <v>1800000000</v>
      </c>
      <c r="H482" s="852" t="s">
        <v>278</v>
      </c>
      <c r="I482" s="547" t="s">
        <v>1377</v>
      </c>
      <c r="J482" s="658">
        <f>VLOOKUP($I482,Prices!A:B,2,0)</f>
        <v>3</v>
      </c>
      <c r="K482" s="790">
        <f>VLOOKUP(I482,Prices!A:C,3,0)</f>
        <v>0</v>
      </c>
      <c r="L482" s="640" t="s">
        <v>224</v>
      </c>
      <c r="M482" s="640" t="s">
        <v>224</v>
      </c>
      <c r="N482" s="640">
        <f>VLOOKUP($I482,Prices!A:D,4,0)</f>
        <v>155476</v>
      </c>
      <c r="O482" s="769" t="s">
        <v>194</v>
      </c>
      <c r="P482" s="793" t="s">
        <v>194</v>
      </c>
      <c r="Q482" s="851">
        <f>G482</f>
        <v>1800000000</v>
      </c>
      <c r="R482" s="851">
        <f>Q482</f>
        <v>1800000000</v>
      </c>
      <c r="S482" s="853">
        <f>R482</f>
        <v>1800000000</v>
      </c>
      <c r="T482" s="852" t="s">
        <v>298</v>
      </c>
      <c r="U482" s="854" t="s">
        <v>1378</v>
      </c>
      <c r="V482" s="854" t="s">
        <v>1379</v>
      </c>
      <c r="W482" s="854" t="s">
        <v>1380</v>
      </c>
      <c r="X482" s="903" t="s">
        <v>1381</v>
      </c>
      <c r="Y482" s="852">
        <v>0</v>
      </c>
      <c r="Z482" s="852">
        <v>1</v>
      </c>
      <c r="AA482" s="782" t="s">
        <v>1382</v>
      </c>
      <c r="AB482" s="820" t="s">
        <v>21</v>
      </c>
      <c r="AC482" s="820" t="s">
        <v>21</v>
      </c>
      <c r="AD482" s="820" t="s">
        <v>21</v>
      </c>
      <c r="AE482" s="820" t="s">
        <v>21</v>
      </c>
      <c r="AF482" s="820" t="s">
        <v>21</v>
      </c>
      <c r="AG482" s="820" t="s">
        <v>21</v>
      </c>
      <c r="AH482" s="820" t="s">
        <v>21</v>
      </c>
      <c r="AI482" s="820" t="s">
        <v>21</v>
      </c>
      <c r="AJ482" s="820" t="s">
        <v>21</v>
      </c>
      <c r="AK482" s="820" t="s">
        <v>21</v>
      </c>
      <c r="AL482" s="820" t="s">
        <v>21</v>
      </c>
      <c r="AM482" s="820" t="s">
        <v>21</v>
      </c>
      <c r="AN482" s="820" t="s">
        <v>21</v>
      </c>
      <c r="AO482" s="820" t="s">
        <v>21</v>
      </c>
      <c r="AP482" s="775"/>
    </row>
    <row r="483" spans="1:42" s="141" customFormat="1" ht="22.5" customHeight="1">
      <c r="A483" s="848"/>
      <c r="B483" s="848"/>
      <c r="C483" s="848"/>
      <c r="D483" s="848"/>
      <c r="E483" s="848"/>
      <c r="F483" s="859"/>
      <c r="G483" s="872"/>
      <c r="H483" s="852"/>
      <c r="I483" s="547" t="s">
        <v>1383</v>
      </c>
      <c r="J483" s="658">
        <f>VLOOKUP($I483,Prices!A:B,2,0)</f>
        <v>3</v>
      </c>
      <c r="K483" s="790">
        <f>VLOOKUP(I483,Prices!A:C,3,0)</f>
        <v>0</v>
      </c>
      <c r="L483" s="640" t="s">
        <v>224</v>
      </c>
      <c r="M483" s="640" t="s">
        <v>224</v>
      </c>
      <c r="N483" s="640">
        <f>VLOOKUP($I483,Prices!A:D,4,0)</f>
        <v>35000</v>
      </c>
      <c r="O483" s="769" t="s">
        <v>194</v>
      </c>
      <c r="P483" s="793" t="s">
        <v>194</v>
      </c>
      <c r="Q483" s="851"/>
      <c r="R483" s="851"/>
      <c r="S483" s="853"/>
      <c r="T483" s="852"/>
      <c r="U483" s="855"/>
      <c r="V483" s="855"/>
      <c r="W483" s="855"/>
      <c r="X483" s="904"/>
      <c r="Y483" s="852"/>
      <c r="Z483" s="852"/>
      <c r="AA483" s="782" t="s">
        <v>1384</v>
      </c>
      <c r="AB483" s="820" t="s">
        <v>21</v>
      </c>
      <c r="AC483" s="820" t="s">
        <v>21</v>
      </c>
      <c r="AD483" s="820" t="s">
        <v>21</v>
      </c>
      <c r="AE483" s="820" t="s">
        <v>21</v>
      </c>
      <c r="AF483" s="820" t="s">
        <v>21</v>
      </c>
      <c r="AG483" s="820" t="s">
        <v>21</v>
      </c>
      <c r="AH483" s="820" t="s">
        <v>21</v>
      </c>
      <c r="AI483" s="820" t="s">
        <v>21</v>
      </c>
      <c r="AJ483" s="820" t="s">
        <v>21</v>
      </c>
      <c r="AK483" s="820" t="s">
        <v>21</v>
      </c>
      <c r="AL483" s="820" t="s">
        <v>21</v>
      </c>
      <c r="AM483" s="820" t="s">
        <v>21</v>
      </c>
      <c r="AN483" s="820" t="s">
        <v>21</v>
      </c>
      <c r="AO483" s="820" t="s">
        <v>21</v>
      </c>
      <c r="AP483" s="775"/>
    </row>
    <row r="484" spans="1:42" s="141" customFormat="1" ht="23.25" customHeight="1">
      <c r="A484" s="848"/>
      <c r="B484" s="848"/>
      <c r="C484" s="848"/>
      <c r="D484" s="848"/>
      <c r="E484" s="848"/>
      <c r="F484" s="859"/>
      <c r="G484" s="872"/>
      <c r="H484" s="852"/>
      <c r="I484" s="547" t="s">
        <v>1385</v>
      </c>
      <c r="J484" s="658">
        <f>VLOOKUP($I484,Prices!A:B,2,0)</f>
        <v>2</v>
      </c>
      <c r="K484" s="790">
        <f>VLOOKUP(I484,Prices!A:C,3,0)</f>
        <v>0</v>
      </c>
      <c r="L484" s="640">
        <v>100</v>
      </c>
      <c r="M484" s="640">
        <v>100</v>
      </c>
      <c r="N484" s="640">
        <f>VLOOKUP($I484,Prices!A:D,4,0)</f>
        <v>11000</v>
      </c>
      <c r="O484" s="769">
        <f t="shared" si="31"/>
        <v>1100000</v>
      </c>
      <c r="P484" s="793">
        <f t="shared" si="32"/>
        <v>1100000</v>
      </c>
      <c r="Q484" s="851"/>
      <c r="R484" s="851"/>
      <c r="S484" s="853"/>
      <c r="T484" s="852"/>
      <c r="U484" s="855"/>
      <c r="V484" s="855"/>
      <c r="W484" s="855"/>
      <c r="X484" s="904"/>
      <c r="Y484" s="852"/>
      <c r="Z484" s="852"/>
      <c r="AA484" s="782" t="s">
        <v>1384</v>
      </c>
      <c r="AB484" s="820" t="s">
        <v>21</v>
      </c>
      <c r="AC484" s="820" t="s">
        <v>21</v>
      </c>
      <c r="AD484" s="820" t="s">
        <v>21</v>
      </c>
      <c r="AE484" s="820" t="s">
        <v>21</v>
      </c>
      <c r="AF484" s="820" t="s">
        <v>21</v>
      </c>
      <c r="AG484" s="820" t="s">
        <v>21</v>
      </c>
      <c r="AH484" s="820" t="s">
        <v>21</v>
      </c>
      <c r="AI484" s="820" t="s">
        <v>21</v>
      </c>
      <c r="AJ484" s="820" t="s">
        <v>21</v>
      </c>
      <c r="AK484" s="820" t="s">
        <v>21</v>
      </c>
      <c r="AL484" s="820" t="s">
        <v>21</v>
      </c>
      <c r="AM484" s="820" t="s">
        <v>21</v>
      </c>
      <c r="AN484" s="820" t="s">
        <v>21</v>
      </c>
      <c r="AO484" s="820" t="s">
        <v>21</v>
      </c>
      <c r="AP484" s="775"/>
    </row>
    <row r="485" spans="1:42" s="141" customFormat="1" ht="16.5" customHeight="1">
      <c r="A485" s="848"/>
      <c r="B485" s="848"/>
      <c r="C485" s="848"/>
      <c r="D485" s="848"/>
      <c r="E485" s="848"/>
      <c r="F485" s="859"/>
      <c r="G485" s="872"/>
      <c r="H485" s="852"/>
      <c r="I485" s="547" t="s">
        <v>1386</v>
      </c>
      <c r="J485" s="658">
        <f>VLOOKUP($I485,Prices!A:B,2,0)</f>
        <v>5</v>
      </c>
      <c r="K485" s="790">
        <f>VLOOKUP(I485,Prices!A:C,3,0)</f>
        <v>0</v>
      </c>
      <c r="L485" s="640" t="s">
        <v>224</v>
      </c>
      <c r="M485" s="640" t="s">
        <v>224</v>
      </c>
      <c r="N485" s="640">
        <f>VLOOKUP($I485,Prices!A:D,4,0)</f>
        <v>150</v>
      </c>
      <c r="O485" s="769" t="s">
        <v>194</v>
      </c>
      <c r="P485" s="793" t="s">
        <v>194</v>
      </c>
      <c r="Q485" s="851"/>
      <c r="R485" s="851"/>
      <c r="S485" s="853"/>
      <c r="T485" s="852"/>
      <c r="U485" s="855"/>
      <c r="V485" s="855"/>
      <c r="W485" s="855"/>
      <c r="X485" s="904"/>
      <c r="Y485" s="852"/>
      <c r="Z485" s="852"/>
      <c r="AA485" s="782" t="s">
        <v>1387</v>
      </c>
      <c r="AB485" s="820" t="s">
        <v>21</v>
      </c>
      <c r="AC485" s="820" t="s">
        <v>21</v>
      </c>
      <c r="AD485" s="820" t="s">
        <v>21</v>
      </c>
      <c r="AE485" s="820" t="s">
        <v>21</v>
      </c>
      <c r="AF485" s="820" t="s">
        <v>21</v>
      </c>
      <c r="AG485" s="820" t="s">
        <v>21</v>
      </c>
      <c r="AH485" s="820" t="s">
        <v>21</v>
      </c>
      <c r="AI485" s="820" t="s">
        <v>21</v>
      </c>
      <c r="AJ485" s="820" t="s">
        <v>21</v>
      </c>
      <c r="AK485" s="820" t="s">
        <v>21</v>
      </c>
      <c r="AL485" s="820" t="s">
        <v>21</v>
      </c>
      <c r="AM485" s="820" t="s">
        <v>21</v>
      </c>
      <c r="AN485" s="820" t="s">
        <v>21</v>
      </c>
      <c r="AO485" s="820" t="s">
        <v>21</v>
      </c>
      <c r="AP485" s="775"/>
    </row>
    <row r="486" spans="1:42" s="141" customFormat="1" ht="15.75" customHeight="1">
      <c r="A486" s="848"/>
      <c r="B486" s="848"/>
      <c r="C486" s="848"/>
      <c r="D486" s="848"/>
      <c r="E486" s="848"/>
      <c r="F486" s="859"/>
      <c r="G486" s="872"/>
      <c r="H486" s="852"/>
      <c r="I486" s="547" t="s">
        <v>1388</v>
      </c>
      <c r="J486" s="658">
        <f>VLOOKUP($I486,Prices!A:B,2,0)</f>
        <v>2.5</v>
      </c>
      <c r="K486" s="790">
        <f>VLOOKUP(I486,Prices!A:C,3,0)</f>
        <v>1</v>
      </c>
      <c r="L486" s="640">
        <v>30000</v>
      </c>
      <c r="M486" s="640">
        <v>30000</v>
      </c>
      <c r="N486" s="640" t="str">
        <f>VLOOKUP($I486,Prices!A:D,4,0)</f>
        <v>.</v>
      </c>
      <c r="O486" s="769" t="s">
        <v>194</v>
      </c>
      <c r="P486" s="793" t="s">
        <v>194</v>
      </c>
      <c r="Q486" s="851"/>
      <c r="R486" s="851"/>
      <c r="S486" s="853"/>
      <c r="T486" s="852"/>
      <c r="U486" s="855"/>
      <c r="V486" s="855"/>
      <c r="W486" s="855"/>
      <c r="X486" s="904"/>
      <c r="Y486" s="852"/>
      <c r="Z486" s="852"/>
      <c r="AA486" s="782" t="s">
        <v>1384</v>
      </c>
      <c r="AB486" s="820" t="s">
        <v>21</v>
      </c>
      <c r="AC486" s="820" t="s">
        <v>21</v>
      </c>
      <c r="AD486" s="820" t="s">
        <v>21</v>
      </c>
      <c r="AE486" s="820" t="s">
        <v>21</v>
      </c>
      <c r="AF486" s="820" t="s">
        <v>21</v>
      </c>
      <c r="AG486" s="820" t="s">
        <v>21</v>
      </c>
      <c r="AH486" s="820" t="s">
        <v>21</v>
      </c>
      <c r="AI486" s="820" t="s">
        <v>21</v>
      </c>
      <c r="AJ486" s="820" t="s">
        <v>21</v>
      </c>
      <c r="AK486" s="820" t="s">
        <v>21</v>
      </c>
      <c r="AL486" s="820" t="s">
        <v>21</v>
      </c>
      <c r="AM486" s="820" t="s">
        <v>21</v>
      </c>
      <c r="AN486" s="820" t="s">
        <v>21</v>
      </c>
      <c r="AO486" s="820" t="s">
        <v>21</v>
      </c>
      <c r="AP486" s="775"/>
    </row>
    <row r="487" spans="1:42" s="141" customFormat="1" ht="15.75" customHeight="1">
      <c r="A487" s="848"/>
      <c r="B487" s="848"/>
      <c r="C487" s="848"/>
      <c r="D487" s="848"/>
      <c r="E487" s="848"/>
      <c r="F487" s="859"/>
      <c r="G487" s="872"/>
      <c r="H487" s="852"/>
      <c r="I487" s="547" t="s">
        <v>1389</v>
      </c>
      <c r="J487" s="658">
        <f>VLOOKUP($I487,Prices!A:B,2,0)</f>
        <v>4.5</v>
      </c>
      <c r="K487" s="790">
        <f>VLOOKUP(I487,Prices!A:C,3,0)</f>
        <v>0</v>
      </c>
      <c r="L487" s="640">
        <v>1170</v>
      </c>
      <c r="M487" s="640">
        <v>1170</v>
      </c>
      <c r="N487" s="640">
        <f>VLOOKUP($I487,Prices!A:D,4,0)</f>
        <v>2000</v>
      </c>
      <c r="O487" s="769" t="s">
        <v>194</v>
      </c>
      <c r="P487" s="793" t="s">
        <v>194</v>
      </c>
      <c r="Q487" s="851"/>
      <c r="R487" s="851"/>
      <c r="S487" s="853"/>
      <c r="T487" s="852"/>
      <c r="U487" s="855"/>
      <c r="V487" s="855"/>
      <c r="W487" s="855"/>
      <c r="X487" s="904"/>
      <c r="Y487" s="852"/>
      <c r="Z487" s="852"/>
      <c r="AA487" s="782" t="s">
        <v>1384</v>
      </c>
      <c r="AB487" s="820" t="s">
        <v>21</v>
      </c>
      <c r="AC487" s="820" t="s">
        <v>21</v>
      </c>
      <c r="AD487" s="820" t="s">
        <v>21</v>
      </c>
      <c r="AE487" s="820" t="s">
        <v>21</v>
      </c>
      <c r="AF487" s="820" t="s">
        <v>21</v>
      </c>
      <c r="AG487" s="820" t="s">
        <v>21</v>
      </c>
      <c r="AH487" s="820" t="s">
        <v>21</v>
      </c>
      <c r="AI487" s="820" t="s">
        <v>21</v>
      </c>
      <c r="AJ487" s="820" t="s">
        <v>21</v>
      </c>
      <c r="AK487" s="820" t="s">
        <v>21</v>
      </c>
      <c r="AL487" s="820" t="s">
        <v>21</v>
      </c>
      <c r="AM487" s="820" t="s">
        <v>21</v>
      </c>
      <c r="AN487" s="820" t="s">
        <v>21</v>
      </c>
      <c r="AO487" s="820" t="s">
        <v>21</v>
      </c>
      <c r="AP487" s="775"/>
    </row>
    <row r="488" spans="1:42" s="141" customFormat="1" ht="21.75" customHeight="1">
      <c r="A488" s="848"/>
      <c r="B488" s="848"/>
      <c r="C488" s="848"/>
      <c r="D488" s="848"/>
      <c r="E488" s="848"/>
      <c r="F488" s="859"/>
      <c r="G488" s="872"/>
      <c r="H488" s="852"/>
      <c r="I488" s="547" t="s">
        <v>675</v>
      </c>
      <c r="J488" s="658">
        <f>VLOOKUP($I488,Prices!A:B,2,0)</f>
        <v>3</v>
      </c>
      <c r="K488" s="790">
        <f>VLOOKUP(I488,Prices!A:C,3,0)</f>
        <v>0</v>
      </c>
      <c r="L488" s="640" t="s">
        <v>224</v>
      </c>
      <c r="M488" s="640" t="s">
        <v>224</v>
      </c>
      <c r="N488" s="640">
        <f>VLOOKUP($I488,Prices!A:D,4,0)</f>
        <v>80000</v>
      </c>
      <c r="O488" s="769" t="s">
        <v>194</v>
      </c>
      <c r="P488" s="793" t="s">
        <v>194</v>
      </c>
      <c r="Q488" s="851"/>
      <c r="R488" s="851"/>
      <c r="S488" s="853"/>
      <c r="T488" s="852"/>
      <c r="U488" s="855"/>
      <c r="V488" s="855"/>
      <c r="W488" s="855"/>
      <c r="X488" s="904"/>
      <c r="Y488" s="852"/>
      <c r="Z488" s="852"/>
      <c r="AA488" s="782" t="s">
        <v>1384</v>
      </c>
      <c r="AB488" s="820" t="s">
        <v>21</v>
      </c>
      <c r="AC488" s="820" t="s">
        <v>21</v>
      </c>
      <c r="AD488" s="820" t="s">
        <v>21</v>
      </c>
      <c r="AE488" s="820" t="s">
        <v>21</v>
      </c>
      <c r="AF488" s="820" t="s">
        <v>21</v>
      </c>
      <c r="AG488" s="820" t="s">
        <v>21</v>
      </c>
      <c r="AH488" s="820" t="s">
        <v>21</v>
      </c>
      <c r="AI488" s="820" t="s">
        <v>21</v>
      </c>
      <c r="AJ488" s="820" t="s">
        <v>21</v>
      </c>
      <c r="AK488" s="820" t="s">
        <v>21</v>
      </c>
      <c r="AL488" s="820" t="s">
        <v>21</v>
      </c>
      <c r="AM488" s="820" t="s">
        <v>21</v>
      </c>
      <c r="AN488" s="820" t="s">
        <v>21</v>
      </c>
      <c r="AO488" s="820" t="s">
        <v>21</v>
      </c>
      <c r="AP488" s="775"/>
    </row>
    <row r="489" spans="1:42" s="141" customFormat="1" ht="20.25" customHeight="1">
      <c r="A489" s="848"/>
      <c r="B489" s="848"/>
      <c r="C489" s="848"/>
      <c r="D489" s="848"/>
      <c r="E489" s="848"/>
      <c r="F489" s="859"/>
      <c r="G489" s="872"/>
      <c r="H489" s="852"/>
      <c r="I489" s="547" t="s">
        <v>344</v>
      </c>
      <c r="J489" s="658">
        <f>VLOOKUP($I489,Prices!A:B,2,0)</f>
        <v>1</v>
      </c>
      <c r="K489" s="790">
        <f>VLOOKUP(I489,Prices!A:C,3,0)</f>
        <v>0</v>
      </c>
      <c r="L489" s="640">
        <v>42000</v>
      </c>
      <c r="M489" s="640">
        <v>42000</v>
      </c>
      <c r="N489" s="640">
        <f>VLOOKUP($I489,Prices!A:D,4,0)</f>
        <v>1400</v>
      </c>
      <c r="O489" s="769">
        <f t="shared" si="31"/>
        <v>58800000</v>
      </c>
      <c r="P489" s="793">
        <f t="shared" si="32"/>
        <v>58800000</v>
      </c>
      <c r="Q489" s="851"/>
      <c r="R489" s="851"/>
      <c r="S489" s="853"/>
      <c r="T489" s="852"/>
      <c r="U489" s="855"/>
      <c r="V489" s="855"/>
      <c r="W489" s="855"/>
      <c r="X489" s="904"/>
      <c r="Y489" s="852"/>
      <c r="Z489" s="852"/>
      <c r="AA489" s="782" t="s">
        <v>1384</v>
      </c>
      <c r="AB489" s="820" t="s">
        <v>21</v>
      </c>
      <c r="AC489" s="820" t="s">
        <v>21</v>
      </c>
      <c r="AD489" s="820" t="s">
        <v>21</v>
      </c>
      <c r="AE489" s="820" t="s">
        <v>21</v>
      </c>
      <c r="AF489" s="820" t="s">
        <v>21</v>
      </c>
      <c r="AG489" s="820" t="s">
        <v>21</v>
      </c>
      <c r="AH489" s="820" t="s">
        <v>21</v>
      </c>
      <c r="AI489" s="820" t="s">
        <v>21</v>
      </c>
      <c r="AJ489" s="820" t="s">
        <v>21</v>
      </c>
      <c r="AK489" s="820" t="s">
        <v>21</v>
      </c>
      <c r="AL489" s="820" t="s">
        <v>21</v>
      </c>
      <c r="AM489" s="820" t="s">
        <v>21</v>
      </c>
      <c r="AN489" s="820" t="s">
        <v>21</v>
      </c>
      <c r="AO489" s="820" t="s">
        <v>21</v>
      </c>
      <c r="AP489" s="775"/>
    </row>
    <row r="490" spans="1:42" s="141" customFormat="1" ht="17.25" customHeight="1">
      <c r="A490" s="848"/>
      <c r="B490" s="848"/>
      <c r="C490" s="848"/>
      <c r="D490" s="848"/>
      <c r="E490" s="848"/>
      <c r="F490" s="859"/>
      <c r="G490" s="872"/>
      <c r="H490" s="852"/>
      <c r="I490" s="547" t="s">
        <v>1390</v>
      </c>
      <c r="J490" s="658">
        <f>VLOOKUP($I490,Prices!A:B,2,0)</f>
        <v>2.5</v>
      </c>
      <c r="K490" s="790">
        <f>VLOOKUP(I490,Prices!A:C,3,0)</f>
        <v>0</v>
      </c>
      <c r="L490" s="640">
        <v>1500</v>
      </c>
      <c r="M490" s="640">
        <v>1500</v>
      </c>
      <c r="N490" s="640">
        <f>VLOOKUP($I490,Prices!A:D,4,0)</f>
        <v>329</v>
      </c>
      <c r="O490" s="769">
        <f t="shared" si="31"/>
        <v>493500</v>
      </c>
      <c r="P490" s="793">
        <f t="shared" si="32"/>
        <v>493500</v>
      </c>
      <c r="Q490" s="851"/>
      <c r="R490" s="851"/>
      <c r="S490" s="853"/>
      <c r="T490" s="852"/>
      <c r="U490" s="855"/>
      <c r="V490" s="855"/>
      <c r="W490" s="855"/>
      <c r="X490" s="904"/>
      <c r="Y490" s="852"/>
      <c r="Z490" s="852"/>
      <c r="AA490" s="782" t="s">
        <v>1384</v>
      </c>
      <c r="AB490" s="820" t="s">
        <v>21</v>
      </c>
      <c r="AC490" s="820" t="s">
        <v>21</v>
      </c>
      <c r="AD490" s="820" t="s">
        <v>21</v>
      </c>
      <c r="AE490" s="820" t="s">
        <v>21</v>
      </c>
      <c r="AF490" s="820" t="s">
        <v>21</v>
      </c>
      <c r="AG490" s="820" t="s">
        <v>21</v>
      </c>
      <c r="AH490" s="820" t="s">
        <v>21</v>
      </c>
      <c r="AI490" s="820" t="s">
        <v>21</v>
      </c>
      <c r="AJ490" s="820" t="s">
        <v>21</v>
      </c>
      <c r="AK490" s="820" t="s">
        <v>21</v>
      </c>
      <c r="AL490" s="820" t="s">
        <v>21</v>
      </c>
      <c r="AM490" s="820" t="s">
        <v>21</v>
      </c>
      <c r="AN490" s="820" t="s">
        <v>21</v>
      </c>
      <c r="AO490" s="820" t="s">
        <v>21</v>
      </c>
      <c r="AP490" s="775"/>
    </row>
    <row r="491" spans="1:42" s="141" customFormat="1" ht="27" customHeight="1">
      <c r="A491" s="848"/>
      <c r="B491" s="848"/>
      <c r="C491" s="848"/>
      <c r="D491" s="848"/>
      <c r="E491" s="848"/>
      <c r="F491" s="859"/>
      <c r="G491" s="872"/>
      <c r="H491" s="852"/>
      <c r="I491" s="547" t="s">
        <v>568</v>
      </c>
      <c r="J491" s="658">
        <f>VLOOKUP($I491,Prices!A:B,2,0)</f>
        <v>4</v>
      </c>
      <c r="K491" s="790">
        <f>VLOOKUP(I491,Prices!A:C,3,0)</f>
        <v>1</v>
      </c>
      <c r="L491" s="640">
        <v>240</v>
      </c>
      <c r="M491" s="640">
        <v>240</v>
      </c>
      <c r="N491" s="640">
        <f>VLOOKUP($I491,Prices!A:D,4,0)</f>
        <v>500000</v>
      </c>
      <c r="O491" s="769">
        <f>$L491*$N491</f>
        <v>120000000</v>
      </c>
      <c r="P491" s="793">
        <f t="shared" si="32"/>
        <v>120000000</v>
      </c>
      <c r="Q491" s="851"/>
      <c r="R491" s="851"/>
      <c r="S491" s="853"/>
      <c r="T491" s="852"/>
      <c r="U491" s="855"/>
      <c r="V491" s="855"/>
      <c r="W491" s="855"/>
      <c r="X491" s="904"/>
      <c r="Y491" s="852"/>
      <c r="Z491" s="852"/>
      <c r="AA491" s="782" t="s">
        <v>1391</v>
      </c>
      <c r="AB491" s="820" t="s">
        <v>21</v>
      </c>
      <c r="AC491" s="820" t="s">
        <v>21</v>
      </c>
      <c r="AD491" s="820" t="s">
        <v>21</v>
      </c>
      <c r="AE491" s="820" t="s">
        <v>21</v>
      </c>
      <c r="AF491" s="820" t="s">
        <v>21</v>
      </c>
      <c r="AG491" s="820" t="s">
        <v>21</v>
      </c>
      <c r="AH491" s="820" t="s">
        <v>21</v>
      </c>
      <c r="AI491" s="820" t="s">
        <v>21</v>
      </c>
      <c r="AJ491" s="820" t="s">
        <v>21</v>
      </c>
      <c r="AK491" s="820" t="s">
        <v>21</v>
      </c>
      <c r="AL491" s="820" t="s">
        <v>21</v>
      </c>
      <c r="AM491" s="820" t="s">
        <v>21</v>
      </c>
      <c r="AN491" s="820" t="s">
        <v>21</v>
      </c>
      <c r="AO491" s="820" t="s">
        <v>21</v>
      </c>
      <c r="AP491" s="775"/>
    </row>
    <row r="492" spans="1:42" s="141" customFormat="1" ht="24" customHeight="1">
      <c r="A492" s="848"/>
      <c r="B492" s="848"/>
      <c r="C492" s="848"/>
      <c r="D492" s="848"/>
      <c r="E492" s="848"/>
      <c r="F492" s="859"/>
      <c r="G492" s="872"/>
      <c r="H492" s="852"/>
      <c r="I492" s="547" t="s">
        <v>1392</v>
      </c>
      <c r="J492" s="658">
        <f>VLOOKUP($I492,Prices!A:B,2,0)</f>
        <v>5</v>
      </c>
      <c r="K492" s="790">
        <f>VLOOKUP(I492,Prices!A:C,3,0)</f>
        <v>0</v>
      </c>
      <c r="L492" s="640" t="s">
        <v>224</v>
      </c>
      <c r="M492" s="640" t="s">
        <v>224</v>
      </c>
      <c r="N492" s="640">
        <f>VLOOKUP($I492,Prices!A:D,4,0)</f>
        <v>12000</v>
      </c>
      <c r="O492" s="769" t="s">
        <v>194</v>
      </c>
      <c r="P492" s="793" t="s">
        <v>194</v>
      </c>
      <c r="Q492" s="851"/>
      <c r="R492" s="851"/>
      <c r="S492" s="853"/>
      <c r="T492" s="852"/>
      <c r="U492" s="756" t="s">
        <v>1393</v>
      </c>
      <c r="V492" s="752" t="s">
        <v>194</v>
      </c>
      <c r="W492" s="752" t="s">
        <v>194</v>
      </c>
      <c r="X492" s="822" t="s">
        <v>194</v>
      </c>
      <c r="Y492" s="852"/>
      <c r="Z492" s="852"/>
      <c r="AA492" s="782" t="s">
        <v>1387</v>
      </c>
      <c r="AB492" s="820" t="s">
        <v>21</v>
      </c>
      <c r="AC492" s="820" t="s">
        <v>21</v>
      </c>
      <c r="AD492" s="820" t="s">
        <v>21</v>
      </c>
      <c r="AE492" s="820" t="s">
        <v>21</v>
      </c>
      <c r="AF492" s="820" t="s">
        <v>21</v>
      </c>
      <c r="AG492" s="820" t="s">
        <v>21</v>
      </c>
      <c r="AH492" s="820" t="s">
        <v>21</v>
      </c>
      <c r="AI492" s="820" t="s">
        <v>21</v>
      </c>
      <c r="AJ492" s="820" t="s">
        <v>21</v>
      </c>
      <c r="AK492" s="820" t="s">
        <v>21</v>
      </c>
      <c r="AL492" s="820" t="s">
        <v>21</v>
      </c>
      <c r="AM492" s="820" t="s">
        <v>21</v>
      </c>
      <c r="AN492" s="820" t="s">
        <v>21</v>
      </c>
      <c r="AO492" s="820" t="s">
        <v>21</v>
      </c>
      <c r="AP492" s="775"/>
    </row>
    <row r="493" spans="1:42" s="141" customFormat="1" ht="24" customHeight="1">
      <c r="A493" s="848"/>
      <c r="B493" s="848"/>
      <c r="C493" s="848"/>
      <c r="D493" s="848"/>
      <c r="E493" s="848"/>
      <c r="F493" s="859"/>
      <c r="G493" s="872"/>
      <c r="H493" s="852"/>
      <c r="I493" s="547" t="s">
        <v>1394</v>
      </c>
      <c r="J493" s="658">
        <f>VLOOKUP($I493,Prices!A:B,2,0)</f>
        <v>4</v>
      </c>
      <c r="K493" s="790">
        <f>VLOOKUP(I493,Prices!A:C,3,0)</f>
        <v>0</v>
      </c>
      <c r="L493" s="640">
        <v>18</v>
      </c>
      <c r="M493" s="640">
        <v>18</v>
      </c>
      <c r="N493" s="640">
        <f>VLOOKUP($I493,Prices!A:D,4,0)</f>
        <v>11458333.333000001</v>
      </c>
      <c r="O493" s="795">
        <v>206250000</v>
      </c>
      <c r="P493" s="793" t="s">
        <v>194</v>
      </c>
      <c r="Q493" s="851"/>
      <c r="R493" s="851"/>
      <c r="S493" s="853"/>
      <c r="T493" s="852"/>
      <c r="U493" s="756" t="s">
        <v>1395</v>
      </c>
      <c r="V493" s="752" t="s">
        <v>194</v>
      </c>
      <c r="W493" s="752" t="s">
        <v>194</v>
      </c>
      <c r="X493" s="822" t="s">
        <v>194</v>
      </c>
      <c r="Y493" s="852"/>
      <c r="Z493" s="852"/>
      <c r="AA493" s="782" t="s">
        <v>1396</v>
      </c>
      <c r="AB493" s="820" t="s">
        <v>21</v>
      </c>
      <c r="AC493" s="820" t="s">
        <v>21</v>
      </c>
      <c r="AD493" s="820" t="s">
        <v>21</v>
      </c>
      <c r="AE493" s="820" t="s">
        <v>21</v>
      </c>
      <c r="AF493" s="820" t="s">
        <v>21</v>
      </c>
      <c r="AG493" s="820" t="s">
        <v>21</v>
      </c>
      <c r="AH493" s="820" t="s">
        <v>21</v>
      </c>
      <c r="AI493" s="820" t="s">
        <v>21</v>
      </c>
      <c r="AJ493" s="820" t="s">
        <v>21</v>
      </c>
      <c r="AK493" s="820" t="s">
        <v>21</v>
      </c>
      <c r="AL493" s="820" t="s">
        <v>21</v>
      </c>
      <c r="AM493" s="820" t="s">
        <v>21</v>
      </c>
      <c r="AN493" s="820" t="s">
        <v>21</v>
      </c>
      <c r="AO493" s="820" t="s">
        <v>21</v>
      </c>
      <c r="AP493" s="775"/>
    </row>
    <row r="494" spans="1:42" s="141" customFormat="1" ht="51.95" customHeight="1">
      <c r="A494" s="766" t="s">
        <v>1397</v>
      </c>
      <c r="B494" s="766" t="s">
        <v>1364</v>
      </c>
      <c r="C494" s="776">
        <v>44616</v>
      </c>
      <c r="D494" s="766" t="s">
        <v>292</v>
      </c>
      <c r="E494" s="766" t="s">
        <v>1398</v>
      </c>
      <c r="F494" s="773" t="s">
        <v>1399</v>
      </c>
      <c r="G494" s="778">
        <v>1000000000</v>
      </c>
      <c r="H494" s="759" t="s">
        <v>260</v>
      </c>
      <c r="I494" s="766" t="s">
        <v>194</v>
      </c>
      <c r="J494" s="658" t="str">
        <f>VLOOKUP($I494,Prices!A:B,2,0)</f>
        <v>.</v>
      </c>
      <c r="K494" s="790" t="s">
        <v>194</v>
      </c>
      <c r="L494" s="665" t="s">
        <v>194</v>
      </c>
      <c r="M494" s="788" t="s">
        <v>194</v>
      </c>
      <c r="N494" s="708" t="str">
        <f>VLOOKUP($I494,Prices!A:D,4,0)</f>
        <v>.</v>
      </c>
      <c r="O494" s="769" t="s">
        <v>194</v>
      </c>
      <c r="P494" s="793" t="s">
        <v>194</v>
      </c>
      <c r="Q494" s="778">
        <f>G494</f>
        <v>1000000000</v>
      </c>
      <c r="R494" s="772">
        <f>Q494/VLOOKUP(H494, 'Currency Conversion'!B:C, 2, 0)</f>
        <v>946969696.96969688</v>
      </c>
      <c r="S494" s="749" t="s">
        <v>194</v>
      </c>
      <c r="T494" s="759" t="s">
        <v>195</v>
      </c>
      <c r="U494" s="756" t="s">
        <v>1400</v>
      </c>
      <c r="V494" s="756" t="s">
        <v>1401</v>
      </c>
      <c r="W494" s="756" t="s">
        <v>1402</v>
      </c>
      <c r="X494" s="784" t="s">
        <v>194</v>
      </c>
      <c r="Y494" s="759">
        <v>0</v>
      </c>
      <c r="Z494" s="759">
        <v>0</v>
      </c>
      <c r="AA494" s="749" t="s">
        <v>194</v>
      </c>
      <c r="AB494" s="775"/>
      <c r="AC494" s="775"/>
      <c r="AD494" s="775"/>
      <c r="AE494" s="775"/>
      <c r="AF494" s="775"/>
      <c r="AG494" s="775"/>
      <c r="AH494" s="775"/>
      <c r="AI494" s="775"/>
      <c r="AJ494" s="775"/>
      <c r="AK494" s="775"/>
      <c r="AL494" s="775"/>
      <c r="AM494" s="775"/>
      <c r="AN494" s="775"/>
      <c r="AO494" s="775"/>
      <c r="AP494" s="775"/>
    </row>
    <row r="495" spans="1:42" s="141" customFormat="1" ht="51.95" customHeight="1">
      <c r="A495" s="766" t="s">
        <v>1403</v>
      </c>
      <c r="B495" s="766" t="s">
        <v>1364</v>
      </c>
      <c r="C495" s="776">
        <v>44623</v>
      </c>
      <c r="D495" s="766" t="s">
        <v>292</v>
      </c>
      <c r="E495" s="766" t="s">
        <v>276</v>
      </c>
      <c r="F495" s="773" t="s">
        <v>1404</v>
      </c>
      <c r="G495" s="778">
        <v>30000000</v>
      </c>
      <c r="H495" s="759" t="s">
        <v>1405</v>
      </c>
      <c r="I495" s="766" t="s">
        <v>194</v>
      </c>
      <c r="J495" s="658" t="str">
        <f>VLOOKUP($I495,Prices!A:B,2,0)</f>
        <v>.</v>
      </c>
      <c r="K495" s="790" t="s">
        <v>194</v>
      </c>
      <c r="L495" s="665" t="s">
        <v>194</v>
      </c>
      <c r="M495" s="788" t="s">
        <v>194</v>
      </c>
      <c r="N495" s="647" t="str">
        <f>VLOOKUP($I495,Prices!A:D,4,0)</f>
        <v>.</v>
      </c>
      <c r="O495" s="769" t="s">
        <v>194</v>
      </c>
      <c r="P495" s="793" t="s">
        <v>194</v>
      </c>
      <c r="Q495" s="778">
        <f>G495</f>
        <v>30000000</v>
      </c>
      <c r="R495" s="772">
        <f>Q495/VLOOKUP(H495, 'Currency Conversion'!B:C, 2, 0)</f>
        <v>6451474.1618459821</v>
      </c>
      <c r="S495" s="749" t="s">
        <v>194</v>
      </c>
      <c r="T495" s="759" t="s">
        <v>195</v>
      </c>
      <c r="U495" s="756" t="s">
        <v>1406</v>
      </c>
      <c r="V495" s="765" t="s">
        <v>194</v>
      </c>
      <c r="W495" s="765" t="s">
        <v>194</v>
      </c>
      <c r="X495" s="784" t="s">
        <v>194</v>
      </c>
      <c r="Y495" s="759">
        <v>0</v>
      </c>
      <c r="Z495" s="759">
        <v>0</v>
      </c>
      <c r="AA495" s="749" t="s">
        <v>194</v>
      </c>
      <c r="AB495" s="775"/>
      <c r="AC495" s="775"/>
      <c r="AD495" s="775"/>
      <c r="AE495" s="775"/>
      <c r="AF495" s="775"/>
      <c r="AG495" s="775"/>
      <c r="AH495" s="775"/>
      <c r="AI495" s="775"/>
      <c r="AJ495" s="775"/>
      <c r="AK495" s="775"/>
      <c r="AL495" s="775"/>
      <c r="AM495" s="775"/>
      <c r="AN495" s="775"/>
      <c r="AO495" s="775"/>
      <c r="AP495" s="775"/>
    </row>
    <row r="496" spans="1:42" s="141" customFormat="1" ht="51.95" customHeight="1">
      <c r="A496" s="766" t="s">
        <v>1407</v>
      </c>
      <c r="B496" s="766" t="s">
        <v>1408</v>
      </c>
      <c r="C496" s="776">
        <v>44624</v>
      </c>
      <c r="D496" s="766" t="s">
        <v>190</v>
      </c>
      <c r="E496" s="766" t="s">
        <v>199</v>
      </c>
      <c r="F496" s="656" t="s">
        <v>1409</v>
      </c>
      <c r="G496" s="778">
        <v>100000</v>
      </c>
      <c r="H496" s="759" t="s">
        <v>278</v>
      </c>
      <c r="I496" s="766" t="s">
        <v>194</v>
      </c>
      <c r="J496" s="658" t="str">
        <f>VLOOKUP($I496,Prices!A:B,2,0)</f>
        <v>.</v>
      </c>
      <c r="K496" s="790" t="s">
        <v>194</v>
      </c>
      <c r="L496" s="665" t="s">
        <v>194</v>
      </c>
      <c r="M496" s="788" t="s">
        <v>194</v>
      </c>
      <c r="N496" s="708" t="str">
        <f>VLOOKUP($I496,Prices!A:D,4,0)</f>
        <v>.</v>
      </c>
      <c r="O496" s="769" t="s">
        <v>194</v>
      </c>
      <c r="P496" s="793" t="s">
        <v>194</v>
      </c>
      <c r="Q496" s="778">
        <f>G496</f>
        <v>100000</v>
      </c>
      <c r="R496" s="772">
        <f>Q496/VLOOKUP(H496, 'Currency Conversion'!B:C, 2, 0)</f>
        <v>100000</v>
      </c>
      <c r="S496" s="749" t="s">
        <v>194</v>
      </c>
      <c r="T496" s="759" t="s">
        <v>298</v>
      </c>
      <c r="U496" s="756" t="s">
        <v>1410</v>
      </c>
      <c r="V496" s="756" t="s">
        <v>1411</v>
      </c>
      <c r="W496" s="765"/>
      <c r="X496" s="532"/>
      <c r="Y496" s="759">
        <v>0</v>
      </c>
      <c r="Z496" s="759">
        <v>0</v>
      </c>
      <c r="AA496" s="749" t="s">
        <v>194</v>
      </c>
      <c r="AB496" s="775"/>
      <c r="AC496" s="775"/>
      <c r="AD496" s="775"/>
      <c r="AE496" s="775"/>
      <c r="AF496" s="775"/>
      <c r="AG496" s="775"/>
      <c r="AH496" s="775"/>
      <c r="AI496" s="775"/>
      <c r="AJ496" s="775"/>
      <c r="AK496" s="775"/>
      <c r="AL496" s="775"/>
      <c r="AM496" s="775"/>
      <c r="AN496" s="775"/>
      <c r="AO496" s="775"/>
      <c r="AP496" s="775"/>
    </row>
    <row r="497" spans="1:42" s="141" customFormat="1" ht="51.95" customHeight="1">
      <c r="A497" s="766" t="s">
        <v>1412</v>
      </c>
      <c r="B497" s="766" t="s">
        <v>1408</v>
      </c>
      <c r="C497" s="776">
        <v>44686</v>
      </c>
      <c r="D497" s="766" t="s">
        <v>190</v>
      </c>
      <c r="E497" s="766" t="s">
        <v>191</v>
      </c>
      <c r="F497" s="773" t="s">
        <v>1413</v>
      </c>
      <c r="G497" s="778">
        <v>1100000</v>
      </c>
      <c r="H497" s="759" t="s">
        <v>278</v>
      </c>
      <c r="I497" s="766" t="s">
        <v>194</v>
      </c>
      <c r="J497" s="658" t="str">
        <f>VLOOKUP($I497,Prices!A:B,2,0)</f>
        <v>.</v>
      </c>
      <c r="K497" s="790" t="s">
        <v>194</v>
      </c>
      <c r="L497" s="665" t="s">
        <v>194</v>
      </c>
      <c r="M497" s="788" t="s">
        <v>194</v>
      </c>
      <c r="N497" s="647" t="str">
        <f>VLOOKUP($I497,Prices!A:D,4,0)</f>
        <v>.</v>
      </c>
      <c r="O497" s="769" t="s">
        <v>194</v>
      </c>
      <c r="P497" s="793" t="s">
        <v>194</v>
      </c>
      <c r="Q497" s="778">
        <f>G497</f>
        <v>1100000</v>
      </c>
      <c r="R497" s="772">
        <f>Q497/VLOOKUP(H497, 'Currency Conversion'!B:C, 2, 0)</f>
        <v>1100000</v>
      </c>
      <c r="S497" s="749" t="s">
        <v>194</v>
      </c>
      <c r="T497" s="759" t="s">
        <v>195</v>
      </c>
      <c r="U497" s="756" t="s">
        <v>1414</v>
      </c>
      <c r="V497" s="765" t="s">
        <v>194</v>
      </c>
      <c r="W497" s="765" t="s">
        <v>194</v>
      </c>
      <c r="X497" s="784" t="s">
        <v>194</v>
      </c>
      <c r="Y497" s="759">
        <v>0</v>
      </c>
      <c r="Z497" s="759">
        <v>0</v>
      </c>
      <c r="AA497" s="749" t="s">
        <v>194</v>
      </c>
      <c r="AB497" s="775"/>
      <c r="AC497" s="775"/>
      <c r="AD497" s="775"/>
      <c r="AE497" s="775"/>
      <c r="AF497" s="775"/>
      <c r="AG497" s="775"/>
      <c r="AH497" s="775"/>
      <c r="AI497" s="775"/>
      <c r="AJ497" s="775"/>
      <c r="AK497" s="775"/>
      <c r="AL497" s="775"/>
      <c r="AM497" s="775"/>
      <c r="AN497" s="775"/>
      <c r="AO497" s="775"/>
      <c r="AP497" s="775"/>
    </row>
    <row r="498" spans="1:42" s="141" customFormat="1" ht="21" customHeight="1">
      <c r="A498" s="873" t="s">
        <v>1415</v>
      </c>
      <c r="B498" s="873" t="s">
        <v>1408</v>
      </c>
      <c r="C498" s="874">
        <v>44618</v>
      </c>
      <c r="D498" s="873" t="s">
        <v>212</v>
      </c>
      <c r="E498" s="873" t="s">
        <v>221</v>
      </c>
      <c r="F498" s="890" t="s">
        <v>1416</v>
      </c>
      <c r="G498" s="875" t="s">
        <v>259</v>
      </c>
      <c r="H498" s="871" t="s">
        <v>260</v>
      </c>
      <c r="I498" s="766" t="s">
        <v>348</v>
      </c>
      <c r="J498" s="658">
        <f>VLOOKUP($I498,Prices!A:B,2,0)</f>
        <v>1</v>
      </c>
      <c r="K498" s="790">
        <f>VLOOKUP(I498,Prices!A:C,3,0)</f>
        <v>0</v>
      </c>
      <c r="L498" s="665" t="s">
        <v>224</v>
      </c>
      <c r="M498" s="665" t="s">
        <v>224</v>
      </c>
      <c r="N498" s="707">
        <f>VLOOKUP($I498,Prices!A:D,4,0)</f>
        <v>500</v>
      </c>
      <c r="O498" s="769" t="s">
        <v>194</v>
      </c>
      <c r="P498" s="793" t="s">
        <v>194</v>
      </c>
      <c r="Q498" s="887" t="s">
        <v>194</v>
      </c>
      <c r="R498" s="887" t="s">
        <v>194</v>
      </c>
      <c r="S498" s="865" t="s">
        <v>194</v>
      </c>
      <c r="T498" s="915" t="s">
        <v>195</v>
      </c>
      <c r="U498" s="854" t="s">
        <v>1417</v>
      </c>
      <c r="V498" s="854" t="s">
        <v>1418</v>
      </c>
      <c r="W498" s="911" t="s">
        <v>194</v>
      </c>
      <c r="X498" s="878"/>
      <c r="Y498" s="878">
        <v>0</v>
      </c>
      <c r="Z498" s="878">
        <v>0</v>
      </c>
      <c r="AA498" s="897" t="s">
        <v>1419</v>
      </c>
      <c r="AB498" s="775"/>
      <c r="AC498" s="775"/>
      <c r="AD498" s="775"/>
      <c r="AE498" s="775"/>
      <c r="AF498" s="775"/>
      <c r="AG498" s="775"/>
      <c r="AH498" s="775"/>
      <c r="AI498" s="775"/>
      <c r="AJ498" s="775"/>
      <c r="AK498" s="775"/>
      <c r="AL498" s="775"/>
      <c r="AM498" s="775"/>
      <c r="AN498" s="775"/>
      <c r="AO498" s="775"/>
      <c r="AP498" s="775"/>
    </row>
    <row r="499" spans="1:42" s="141" customFormat="1" ht="21" customHeight="1">
      <c r="A499" s="873"/>
      <c r="B499" s="873"/>
      <c r="C499" s="874"/>
      <c r="D499" s="873"/>
      <c r="E499" s="873"/>
      <c r="F499" s="890"/>
      <c r="G499" s="875"/>
      <c r="H499" s="871"/>
      <c r="I499" s="766" t="s">
        <v>344</v>
      </c>
      <c r="J499" s="658">
        <f>VLOOKUP($I499,Prices!A:B,2,0)</f>
        <v>1</v>
      </c>
      <c r="K499" s="790">
        <f>VLOOKUP(I499,Prices!A:C,3,0)</f>
        <v>0</v>
      </c>
      <c r="L499" s="665" t="s">
        <v>224</v>
      </c>
      <c r="M499" s="665" t="s">
        <v>224</v>
      </c>
      <c r="N499" s="647">
        <f>VLOOKUP($I499,Prices!A:D,4,0)</f>
        <v>1400</v>
      </c>
      <c r="O499" s="769" t="s">
        <v>194</v>
      </c>
      <c r="P499" s="793" t="s">
        <v>194</v>
      </c>
      <c r="Q499" s="887"/>
      <c r="R499" s="887"/>
      <c r="S499" s="865"/>
      <c r="T499" s="915"/>
      <c r="U499" s="854"/>
      <c r="V499" s="854"/>
      <c r="W499" s="911"/>
      <c r="X499" s="878"/>
      <c r="Y499" s="878"/>
      <c r="Z499" s="878"/>
      <c r="AA499" s="897"/>
      <c r="AB499" s="775"/>
      <c r="AC499" s="775"/>
      <c r="AD499" s="775"/>
      <c r="AE499" s="775"/>
      <c r="AF499" s="775"/>
      <c r="AG499" s="775"/>
      <c r="AH499" s="775"/>
      <c r="AI499" s="775"/>
      <c r="AJ499" s="775"/>
      <c r="AK499" s="775"/>
      <c r="AL499" s="775"/>
      <c r="AM499" s="775"/>
      <c r="AN499" s="775"/>
      <c r="AO499" s="775"/>
      <c r="AP499" s="775"/>
    </row>
    <row r="500" spans="1:42" s="141" customFormat="1" ht="21" customHeight="1">
      <c r="A500" s="873"/>
      <c r="B500" s="873"/>
      <c r="C500" s="874"/>
      <c r="D500" s="873"/>
      <c r="E500" s="873"/>
      <c r="F500" s="890"/>
      <c r="G500" s="875"/>
      <c r="H500" s="871"/>
      <c r="I500" s="766" t="s">
        <v>412</v>
      </c>
      <c r="J500" s="658">
        <f>VLOOKUP($I500,Prices!A:B,2,0)</f>
        <v>1</v>
      </c>
      <c r="K500" s="790">
        <f>VLOOKUP(I500,Prices!A:C,3,0)</f>
        <v>0</v>
      </c>
      <c r="L500" s="665" t="s">
        <v>224</v>
      </c>
      <c r="M500" s="665" t="s">
        <v>224</v>
      </c>
      <c r="N500" s="707">
        <f>VLOOKUP($I500,Prices!A:D,4,0)</f>
        <v>7600</v>
      </c>
      <c r="O500" s="769" t="s">
        <v>194</v>
      </c>
      <c r="P500" s="793" t="s">
        <v>194</v>
      </c>
      <c r="Q500" s="887"/>
      <c r="R500" s="887"/>
      <c r="S500" s="865"/>
      <c r="T500" s="915"/>
      <c r="U500" s="854"/>
      <c r="V500" s="854"/>
      <c r="W500" s="911"/>
      <c r="X500" s="878"/>
      <c r="Y500" s="878"/>
      <c r="Z500" s="878"/>
      <c r="AA500" s="897"/>
      <c r="AB500" s="775"/>
      <c r="AC500" s="775"/>
      <c r="AD500" s="775"/>
      <c r="AE500" s="775"/>
      <c r="AF500" s="775"/>
      <c r="AG500" s="775"/>
      <c r="AH500" s="775"/>
      <c r="AI500" s="775"/>
      <c r="AJ500" s="775"/>
      <c r="AK500" s="775"/>
      <c r="AL500" s="775"/>
      <c r="AM500" s="775"/>
      <c r="AN500" s="775"/>
      <c r="AO500" s="775"/>
      <c r="AP500" s="775"/>
    </row>
    <row r="501" spans="1:42" s="141" customFormat="1" ht="19.5" customHeight="1">
      <c r="A501" s="873"/>
      <c r="B501" s="873"/>
      <c r="C501" s="874"/>
      <c r="D501" s="873"/>
      <c r="E501" s="873"/>
      <c r="F501" s="890"/>
      <c r="G501" s="875"/>
      <c r="H501" s="871"/>
      <c r="I501" s="766" t="s">
        <v>416</v>
      </c>
      <c r="J501" s="658">
        <f>VLOOKUP($I501,Prices!A:B,2,0)</f>
        <v>2</v>
      </c>
      <c r="K501" s="790">
        <f>VLOOKUP(I501,Prices!A:C,3,0)</f>
        <v>0</v>
      </c>
      <c r="L501" s="665" t="s">
        <v>224</v>
      </c>
      <c r="M501" s="665" t="s">
        <v>224</v>
      </c>
      <c r="N501" s="647">
        <f>VLOOKUP($I501,Prices!A:D,4,0)</f>
        <v>49</v>
      </c>
      <c r="O501" s="769" t="s">
        <v>194</v>
      </c>
      <c r="P501" s="793" t="s">
        <v>194</v>
      </c>
      <c r="Q501" s="887"/>
      <c r="R501" s="887"/>
      <c r="S501" s="865"/>
      <c r="T501" s="915"/>
      <c r="U501" s="854"/>
      <c r="V501" s="854"/>
      <c r="W501" s="911"/>
      <c r="X501" s="878"/>
      <c r="Y501" s="878"/>
      <c r="Z501" s="878"/>
      <c r="AA501" s="897"/>
      <c r="AB501" s="775"/>
      <c r="AC501" s="775"/>
      <c r="AD501" s="775"/>
      <c r="AE501" s="775"/>
      <c r="AF501" s="775"/>
      <c r="AG501" s="775"/>
      <c r="AH501" s="775"/>
      <c r="AI501" s="775"/>
      <c r="AJ501" s="775"/>
      <c r="AK501" s="775"/>
      <c r="AL501" s="775"/>
      <c r="AM501" s="775"/>
      <c r="AN501" s="775"/>
      <c r="AO501" s="775"/>
      <c r="AP501" s="775"/>
    </row>
    <row r="502" spans="1:42" s="141" customFormat="1" ht="21.75" customHeight="1">
      <c r="A502" s="873"/>
      <c r="B502" s="873"/>
      <c r="C502" s="874"/>
      <c r="D502" s="873"/>
      <c r="E502" s="873"/>
      <c r="F502" s="890"/>
      <c r="G502" s="875"/>
      <c r="H502" s="871"/>
      <c r="I502" s="766" t="s">
        <v>1420</v>
      </c>
      <c r="J502" s="658">
        <f>VLOOKUP($I502,Prices!A:B,2,0)</f>
        <v>2</v>
      </c>
      <c r="K502" s="790">
        <f>VLOOKUP(I502,Prices!A:C,3,0)</f>
        <v>0</v>
      </c>
      <c r="L502" s="665" t="s">
        <v>224</v>
      </c>
      <c r="M502" s="665" t="s">
        <v>224</v>
      </c>
      <c r="N502" s="707">
        <f>VLOOKUP($I502,Prices!A:D,4,0)</f>
        <v>0.85</v>
      </c>
      <c r="O502" s="769" t="s">
        <v>194</v>
      </c>
      <c r="P502" s="793" t="s">
        <v>194</v>
      </c>
      <c r="Q502" s="887"/>
      <c r="R502" s="887"/>
      <c r="S502" s="865"/>
      <c r="T502" s="915"/>
      <c r="U502" s="854"/>
      <c r="V502" s="854"/>
      <c r="W502" s="911"/>
      <c r="X502" s="878"/>
      <c r="Y502" s="878"/>
      <c r="Z502" s="878"/>
      <c r="AA502" s="897"/>
      <c r="AB502" s="775"/>
      <c r="AC502" s="775"/>
      <c r="AD502" s="775"/>
      <c r="AE502" s="775"/>
      <c r="AF502" s="775"/>
      <c r="AG502" s="775"/>
      <c r="AH502" s="775"/>
      <c r="AI502" s="775"/>
      <c r="AJ502" s="775"/>
      <c r="AK502" s="775"/>
      <c r="AL502" s="775"/>
      <c r="AM502" s="775"/>
      <c r="AN502" s="775"/>
      <c r="AO502" s="775"/>
      <c r="AP502" s="775"/>
    </row>
    <row r="503" spans="1:42" s="141" customFormat="1" ht="18.75" customHeight="1">
      <c r="A503" s="873"/>
      <c r="B503" s="873"/>
      <c r="C503" s="874"/>
      <c r="D503" s="873"/>
      <c r="E503" s="873"/>
      <c r="F503" s="890"/>
      <c r="G503" s="875"/>
      <c r="H503" s="871"/>
      <c r="I503" s="766" t="s">
        <v>1421</v>
      </c>
      <c r="J503" s="658">
        <f>VLOOKUP($I503,Prices!A:B,2,0)</f>
        <v>1</v>
      </c>
      <c r="K503" s="790">
        <f>VLOOKUP(I503,Prices!A:C,3,0)</f>
        <v>0</v>
      </c>
      <c r="L503" s="665" t="s">
        <v>224</v>
      </c>
      <c r="M503" s="665" t="s">
        <v>224</v>
      </c>
      <c r="N503" s="647">
        <f>VLOOKUP($I503,Prices!A:D,4,0)</f>
        <v>40</v>
      </c>
      <c r="O503" s="769" t="s">
        <v>194</v>
      </c>
      <c r="P503" s="793" t="s">
        <v>194</v>
      </c>
      <c r="Q503" s="887"/>
      <c r="R503" s="887"/>
      <c r="S503" s="865"/>
      <c r="T503" s="915"/>
      <c r="U503" s="854"/>
      <c r="V503" s="854"/>
      <c r="W503" s="911"/>
      <c r="X503" s="878"/>
      <c r="Y503" s="878"/>
      <c r="Z503" s="878"/>
      <c r="AA503" s="897"/>
      <c r="AB503" s="775"/>
      <c r="AC503" s="775"/>
      <c r="AD503" s="775"/>
      <c r="AE503" s="775"/>
      <c r="AF503" s="775"/>
      <c r="AG503" s="775"/>
      <c r="AH503" s="775"/>
      <c r="AI503" s="775"/>
      <c r="AJ503" s="775"/>
      <c r="AK503" s="775"/>
      <c r="AL503" s="775"/>
      <c r="AM503" s="775"/>
      <c r="AN503" s="775"/>
      <c r="AO503" s="775"/>
      <c r="AP503" s="775"/>
    </row>
    <row r="504" spans="1:42" s="141" customFormat="1" ht="19.5" customHeight="1">
      <c r="A504" s="873"/>
      <c r="B504" s="873"/>
      <c r="C504" s="874"/>
      <c r="D504" s="873"/>
      <c r="E504" s="873"/>
      <c r="F504" s="890"/>
      <c r="G504" s="875"/>
      <c r="H504" s="871"/>
      <c r="I504" s="766" t="s">
        <v>1422</v>
      </c>
      <c r="J504" s="658">
        <f>VLOOKUP($I504,Prices!A:B,2,0)</f>
        <v>2</v>
      </c>
      <c r="K504" s="790">
        <f>VLOOKUP(I504,Prices!A:C,3,0)</f>
        <v>0</v>
      </c>
      <c r="L504" s="665" t="s">
        <v>224</v>
      </c>
      <c r="M504" s="665" t="s">
        <v>224</v>
      </c>
      <c r="N504" s="707">
        <f>VLOOKUP($I504,Prices!A:D,4,0)</f>
        <v>1808.97</v>
      </c>
      <c r="O504" s="769" t="s">
        <v>194</v>
      </c>
      <c r="P504" s="793" t="s">
        <v>194</v>
      </c>
      <c r="Q504" s="887"/>
      <c r="R504" s="887"/>
      <c r="S504" s="865"/>
      <c r="T504" s="915"/>
      <c r="U504" s="854"/>
      <c r="V504" s="854"/>
      <c r="W504" s="911"/>
      <c r="X504" s="878"/>
      <c r="Y504" s="878"/>
      <c r="Z504" s="878"/>
      <c r="AA504" s="897"/>
      <c r="AB504" s="775"/>
      <c r="AC504" s="775"/>
      <c r="AD504" s="775"/>
      <c r="AE504" s="775"/>
      <c r="AF504" s="775"/>
      <c r="AG504" s="775"/>
      <c r="AH504" s="775"/>
      <c r="AI504" s="775"/>
      <c r="AJ504" s="775"/>
      <c r="AK504" s="775"/>
      <c r="AL504" s="775"/>
      <c r="AM504" s="775"/>
      <c r="AN504" s="775"/>
      <c r="AO504" s="775"/>
      <c r="AP504" s="775"/>
    </row>
    <row r="505" spans="1:42" s="141" customFormat="1" ht="26.25" customHeight="1">
      <c r="A505" s="766" t="s">
        <v>1423</v>
      </c>
      <c r="B505" s="766" t="s">
        <v>1408</v>
      </c>
      <c r="C505" s="776">
        <v>44663</v>
      </c>
      <c r="D505" s="766" t="s">
        <v>212</v>
      </c>
      <c r="E505" s="766" t="s">
        <v>221</v>
      </c>
      <c r="F505" s="773" t="s">
        <v>1424</v>
      </c>
      <c r="G505" s="777" t="s">
        <v>201</v>
      </c>
      <c r="H505" s="760" t="s">
        <v>194</v>
      </c>
      <c r="I505" s="766" t="s">
        <v>194</v>
      </c>
      <c r="J505" s="658" t="str">
        <f>VLOOKUP($I505,Prices!A:B,2,0)</f>
        <v>.</v>
      </c>
      <c r="K505" s="790" t="s">
        <v>194</v>
      </c>
      <c r="L505" s="665" t="s">
        <v>194</v>
      </c>
      <c r="M505" s="665" t="s">
        <v>194</v>
      </c>
      <c r="N505" s="647" t="str">
        <f>VLOOKUP($I505,Prices!A:D,4,0)</f>
        <v>.</v>
      </c>
      <c r="O505" s="769" t="s">
        <v>194</v>
      </c>
      <c r="P505" s="793" t="s">
        <v>194</v>
      </c>
      <c r="Q505" s="778" t="s">
        <v>194</v>
      </c>
      <c r="R505" s="778" t="s">
        <v>194</v>
      </c>
      <c r="S505" s="790" t="s">
        <v>194</v>
      </c>
      <c r="T505" s="759" t="s">
        <v>195</v>
      </c>
      <c r="U505" s="756" t="s">
        <v>1425</v>
      </c>
      <c r="V505" s="756" t="s">
        <v>1426</v>
      </c>
      <c r="W505" s="756" t="s">
        <v>1427</v>
      </c>
      <c r="X505" s="759"/>
      <c r="Y505" s="759">
        <v>0</v>
      </c>
      <c r="Z505" s="759">
        <v>0</v>
      </c>
      <c r="AA505" s="679" t="s">
        <v>194</v>
      </c>
      <c r="AB505" s="775"/>
      <c r="AC505" s="775"/>
      <c r="AD505" s="775"/>
      <c r="AE505" s="775"/>
      <c r="AF505" s="775"/>
      <c r="AG505" s="775"/>
      <c r="AH505" s="775"/>
      <c r="AI505" s="775"/>
      <c r="AJ505" s="775"/>
      <c r="AK505" s="775"/>
      <c r="AL505" s="775"/>
      <c r="AM505" s="775"/>
      <c r="AN505" s="775"/>
      <c r="AO505" s="775"/>
      <c r="AP505" s="775"/>
    </row>
    <row r="506" spans="1:42" s="141" customFormat="1" ht="19.5" customHeight="1">
      <c r="A506" s="766" t="s">
        <v>1428</v>
      </c>
      <c r="B506" s="766" t="s">
        <v>1408</v>
      </c>
      <c r="C506" s="776">
        <v>44681</v>
      </c>
      <c r="D506" s="766" t="s">
        <v>212</v>
      </c>
      <c r="E506" s="766" t="s">
        <v>221</v>
      </c>
      <c r="F506" s="773" t="s">
        <v>1429</v>
      </c>
      <c r="G506" s="777" t="s">
        <v>201</v>
      </c>
      <c r="H506" s="760" t="s">
        <v>260</v>
      </c>
      <c r="I506" s="766" t="s">
        <v>1430</v>
      </c>
      <c r="J506" s="658">
        <f>VLOOKUP($I506,Prices!A:B,2,0)</f>
        <v>1</v>
      </c>
      <c r="K506" s="790">
        <f>VLOOKUP(I506,Prices!A:C,3,0)</f>
        <v>0</v>
      </c>
      <c r="L506" s="665">
        <v>4</v>
      </c>
      <c r="M506" s="665" t="s">
        <v>194</v>
      </c>
      <c r="N506" s="707">
        <f>VLOOKUP($I506,Prices!A:D,4,0)</f>
        <v>533100</v>
      </c>
      <c r="O506" s="769">
        <f t="shared" si="31"/>
        <v>2132400</v>
      </c>
      <c r="P506" s="793" t="s">
        <v>194</v>
      </c>
      <c r="Q506" s="772">
        <f>O506</f>
        <v>2132400</v>
      </c>
      <c r="R506" s="772">
        <f>Q506/VLOOKUP(H506, 'Currency Conversion'!B:C, 2, 0)</f>
        <v>2019318.1818181816</v>
      </c>
      <c r="S506" s="749" t="s">
        <v>194</v>
      </c>
      <c r="T506" s="759" t="s">
        <v>298</v>
      </c>
      <c r="U506" s="756" t="s">
        <v>1431</v>
      </c>
      <c r="V506" s="756" t="s">
        <v>1432</v>
      </c>
      <c r="W506" s="756"/>
      <c r="X506" s="759"/>
      <c r="Y506" s="759">
        <v>0</v>
      </c>
      <c r="Z506" s="759">
        <v>0</v>
      </c>
      <c r="AA506" s="679" t="s">
        <v>194</v>
      </c>
      <c r="AB506" s="775"/>
      <c r="AC506" s="775"/>
      <c r="AD506" s="775"/>
      <c r="AE506" s="775"/>
      <c r="AF506" s="775"/>
      <c r="AG506" s="775"/>
      <c r="AH506" s="775"/>
      <c r="AI506" s="775"/>
      <c r="AJ506" s="775"/>
      <c r="AK506" s="775"/>
      <c r="AL506" s="775"/>
      <c r="AM506" s="775"/>
      <c r="AN506" s="775"/>
      <c r="AO506" s="775"/>
      <c r="AP506" s="775"/>
    </row>
    <row r="507" spans="1:42" s="141" customFormat="1" ht="51.95" customHeight="1">
      <c r="A507" s="873" t="s">
        <v>1433</v>
      </c>
      <c r="B507" s="873" t="s">
        <v>1408</v>
      </c>
      <c r="C507" s="874">
        <v>44689</v>
      </c>
      <c r="D507" s="873" t="s">
        <v>212</v>
      </c>
      <c r="E507" s="873" t="s">
        <v>221</v>
      </c>
      <c r="F507" s="890" t="s">
        <v>1434</v>
      </c>
      <c r="G507" s="887" t="s">
        <v>201</v>
      </c>
      <c r="H507" s="878" t="s">
        <v>260</v>
      </c>
      <c r="I507" s="766" t="s">
        <v>252</v>
      </c>
      <c r="J507" s="658">
        <f>VLOOKUP($I507,Prices!A:B,2,0)</f>
        <v>4</v>
      </c>
      <c r="K507" s="790">
        <f>VLOOKUP(I507,Prices!A:C,3,0)</f>
        <v>0</v>
      </c>
      <c r="L507" s="665">
        <v>15</v>
      </c>
      <c r="M507" s="665" t="s">
        <v>194</v>
      </c>
      <c r="N507" s="647">
        <f>VLOOKUP($I507,Prices!A:D,4,0)</f>
        <v>300000</v>
      </c>
      <c r="O507" s="769">
        <f t="shared" si="31"/>
        <v>4500000</v>
      </c>
      <c r="P507" s="793" t="s">
        <v>194</v>
      </c>
      <c r="Q507" s="887">
        <f>SUM(O507:O508)</f>
        <v>7085000</v>
      </c>
      <c r="R507" s="869">
        <f>Q507/VLOOKUP(H507, 'Currency Conversion'!B:C, 2, 0)</f>
        <v>6709280.3030303027</v>
      </c>
      <c r="S507" s="865" t="s">
        <v>194</v>
      </c>
      <c r="T507" s="878" t="s">
        <v>298</v>
      </c>
      <c r="U507" s="854" t="s">
        <v>1435</v>
      </c>
      <c r="V507" s="854" t="s">
        <v>1436</v>
      </c>
      <c r="W507" s="882" t="s">
        <v>194</v>
      </c>
      <c r="X507" s="900" t="s">
        <v>194</v>
      </c>
      <c r="Y507" s="878">
        <v>0</v>
      </c>
      <c r="Z507" s="878">
        <v>0</v>
      </c>
      <c r="AA507" s="679" t="s">
        <v>194</v>
      </c>
      <c r="AB507" s="775"/>
      <c r="AC507" s="775"/>
      <c r="AD507" s="775"/>
      <c r="AE507" s="775"/>
      <c r="AF507" s="775"/>
      <c r="AG507" s="775"/>
      <c r="AH507" s="775"/>
      <c r="AI507" s="775"/>
      <c r="AJ507" s="775"/>
      <c r="AK507" s="775"/>
      <c r="AL507" s="775"/>
      <c r="AM507" s="775"/>
      <c r="AN507" s="775"/>
      <c r="AO507" s="775"/>
      <c r="AP507" s="775"/>
    </row>
    <row r="508" spans="1:42" s="141" customFormat="1" ht="51.95" customHeight="1">
      <c r="A508" s="873"/>
      <c r="B508" s="873"/>
      <c r="C508" s="874"/>
      <c r="D508" s="873"/>
      <c r="E508" s="873"/>
      <c r="F508" s="890"/>
      <c r="G508" s="887"/>
      <c r="H508" s="878"/>
      <c r="I508" s="766" t="s">
        <v>1437</v>
      </c>
      <c r="J508" s="658">
        <f>VLOOKUP($I508,Prices!A:B,2,0)</f>
        <v>4</v>
      </c>
      <c r="K508" s="790">
        <f>VLOOKUP(I508,Prices!A:C,3,0)</f>
        <v>0</v>
      </c>
      <c r="L508" s="665">
        <v>5</v>
      </c>
      <c r="M508" s="665" t="s">
        <v>194</v>
      </c>
      <c r="N508" s="707">
        <f>VLOOKUP($I508,Prices!A:D,4,0)</f>
        <v>517000</v>
      </c>
      <c r="O508" s="769">
        <f t="shared" si="31"/>
        <v>2585000</v>
      </c>
      <c r="P508" s="793" t="s">
        <v>194</v>
      </c>
      <c r="Q508" s="887"/>
      <c r="R508" s="869"/>
      <c r="S508" s="865"/>
      <c r="T508" s="878"/>
      <c r="U508" s="854"/>
      <c r="V508" s="854"/>
      <c r="W508" s="882"/>
      <c r="X508" s="900"/>
      <c r="Y508" s="878"/>
      <c r="Z508" s="878"/>
      <c r="AA508" s="679" t="s">
        <v>194</v>
      </c>
      <c r="AB508" s="775"/>
      <c r="AC508" s="775"/>
      <c r="AD508" s="775"/>
      <c r="AE508" s="775"/>
      <c r="AF508" s="775"/>
      <c r="AG508" s="775"/>
      <c r="AH508" s="775"/>
      <c r="AI508" s="775"/>
      <c r="AJ508" s="775"/>
      <c r="AK508" s="775"/>
      <c r="AL508" s="775"/>
      <c r="AM508" s="775"/>
      <c r="AN508" s="775"/>
      <c r="AO508" s="775"/>
      <c r="AP508" s="775"/>
    </row>
    <row r="509" spans="1:42" s="141" customFormat="1" ht="51.95" customHeight="1">
      <c r="A509" s="766" t="s">
        <v>1438</v>
      </c>
      <c r="B509" s="766" t="s">
        <v>1408</v>
      </c>
      <c r="C509" s="776">
        <v>44699</v>
      </c>
      <c r="D509" s="766" t="s">
        <v>212</v>
      </c>
      <c r="E509" s="766" t="s">
        <v>375</v>
      </c>
      <c r="F509" s="773" t="s">
        <v>1439</v>
      </c>
      <c r="G509" s="778" t="s">
        <v>201</v>
      </c>
      <c r="H509" s="759" t="s">
        <v>194</v>
      </c>
      <c r="I509" s="766" t="s">
        <v>194</v>
      </c>
      <c r="J509" s="658" t="str">
        <f>VLOOKUP($I509,Prices!A:B,2,0)</f>
        <v>.</v>
      </c>
      <c r="K509" s="790" t="s">
        <v>194</v>
      </c>
      <c r="L509" s="665" t="s">
        <v>194</v>
      </c>
      <c r="M509" s="788" t="s">
        <v>194</v>
      </c>
      <c r="N509" s="647" t="str">
        <f>VLOOKUP($I509,Prices!A:D,4,0)</f>
        <v>.</v>
      </c>
      <c r="O509" s="769" t="s">
        <v>194</v>
      </c>
      <c r="P509" s="793" t="s">
        <v>194</v>
      </c>
      <c r="Q509" s="778" t="s">
        <v>194</v>
      </c>
      <c r="R509" s="772" t="s">
        <v>194</v>
      </c>
      <c r="S509" s="749" t="s">
        <v>194</v>
      </c>
      <c r="T509" s="759" t="s">
        <v>298</v>
      </c>
      <c r="U509" s="756" t="s">
        <v>1440</v>
      </c>
      <c r="V509" s="756" t="s">
        <v>1441</v>
      </c>
      <c r="W509" s="765" t="s">
        <v>194</v>
      </c>
      <c r="X509" s="532" t="s">
        <v>194</v>
      </c>
      <c r="Y509" s="759">
        <v>0</v>
      </c>
      <c r="Z509" s="759">
        <v>0</v>
      </c>
      <c r="AA509" s="781" t="s">
        <v>194</v>
      </c>
      <c r="AB509" s="775"/>
      <c r="AC509" s="775"/>
      <c r="AD509" s="775"/>
      <c r="AE509" s="775"/>
      <c r="AF509" s="775"/>
      <c r="AG509" s="775"/>
      <c r="AH509" s="775"/>
      <c r="AI509" s="775"/>
      <c r="AJ509" s="775"/>
      <c r="AK509" s="775"/>
      <c r="AL509" s="775"/>
      <c r="AM509" s="775"/>
      <c r="AN509" s="775"/>
      <c r="AO509" s="775"/>
      <c r="AP509" s="775"/>
    </row>
    <row r="510" spans="1:42" s="141" customFormat="1" ht="51.95" customHeight="1">
      <c r="A510" s="766" t="s">
        <v>1442</v>
      </c>
      <c r="B510" s="766" t="s">
        <v>1408</v>
      </c>
      <c r="C510" s="776">
        <v>44702</v>
      </c>
      <c r="D510" s="766" t="s">
        <v>292</v>
      </c>
      <c r="E510" s="766" t="s">
        <v>276</v>
      </c>
      <c r="F510" s="773" t="s">
        <v>1443</v>
      </c>
      <c r="G510" s="778">
        <v>250000000</v>
      </c>
      <c r="H510" s="759" t="s">
        <v>278</v>
      </c>
      <c r="I510" s="766" t="s">
        <v>194</v>
      </c>
      <c r="J510" s="658" t="str">
        <f>VLOOKUP($I510,Prices!A:B,2,0)</f>
        <v>.</v>
      </c>
      <c r="K510" s="790" t="s">
        <v>194</v>
      </c>
      <c r="L510" s="665" t="s">
        <v>194</v>
      </c>
      <c r="M510" s="788" t="s">
        <v>194</v>
      </c>
      <c r="N510" s="708" t="str">
        <f>VLOOKUP($I510,Prices!A:D,4,0)</f>
        <v>.</v>
      </c>
      <c r="O510" s="769" t="s">
        <v>194</v>
      </c>
      <c r="P510" s="793" t="s">
        <v>194</v>
      </c>
      <c r="Q510" s="778">
        <f>G510</f>
        <v>250000000</v>
      </c>
      <c r="R510" s="772">
        <f>Q510/VLOOKUP(H510, 'Currency Conversion'!B:C, 2, 0)</f>
        <v>250000000</v>
      </c>
      <c r="S510" s="749" t="s">
        <v>194</v>
      </c>
      <c r="T510" s="759" t="s">
        <v>195</v>
      </c>
      <c r="U510" s="756" t="s">
        <v>1444</v>
      </c>
      <c r="V510" s="756" t="s">
        <v>1445</v>
      </c>
      <c r="W510" s="756" t="s">
        <v>1446</v>
      </c>
      <c r="X510" s="812" t="s">
        <v>1447</v>
      </c>
      <c r="Y510" s="759">
        <v>1</v>
      </c>
      <c r="Z510" s="759">
        <v>0</v>
      </c>
      <c r="AA510" s="781" t="s">
        <v>194</v>
      </c>
      <c r="AB510" s="775"/>
      <c r="AC510" s="775"/>
      <c r="AD510" s="775"/>
      <c r="AE510" s="775"/>
      <c r="AF510" s="775"/>
      <c r="AG510" s="775"/>
      <c r="AH510" s="775"/>
      <c r="AI510" s="775"/>
      <c r="AJ510" s="775"/>
      <c r="AK510" s="775"/>
      <c r="AL510" s="775"/>
      <c r="AM510" s="775"/>
      <c r="AN510" s="775"/>
      <c r="AO510" s="775"/>
      <c r="AP510" s="775"/>
    </row>
    <row r="511" spans="1:42" s="141" customFormat="1" ht="63">
      <c r="A511" s="775" t="s">
        <v>1448</v>
      </c>
      <c r="B511" s="775" t="s">
        <v>1449</v>
      </c>
      <c r="C511" s="780">
        <v>44620</v>
      </c>
      <c r="D511" s="775" t="s">
        <v>190</v>
      </c>
      <c r="E511" s="775" t="s">
        <v>199</v>
      </c>
      <c r="F511" s="773" t="s">
        <v>1450</v>
      </c>
      <c r="G511" s="777">
        <v>10000000</v>
      </c>
      <c r="H511" s="757" t="s">
        <v>260</v>
      </c>
      <c r="I511" s="793" t="s">
        <v>194</v>
      </c>
      <c r="J511" s="658" t="str">
        <f>VLOOKUP($I511,Prices!A:B,2,0)</f>
        <v>.</v>
      </c>
      <c r="K511" s="790" t="s">
        <v>194</v>
      </c>
      <c r="L511" s="643" t="s">
        <v>194</v>
      </c>
      <c r="M511" s="788" t="s">
        <v>194</v>
      </c>
      <c r="N511" s="647" t="str">
        <f>VLOOKUP($I511,Prices!A:D,4,0)</f>
        <v>.</v>
      </c>
      <c r="O511" s="769" t="s">
        <v>194</v>
      </c>
      <c r="P511" s="793" t="s">
        <v>194</v>
      </c>
      <c r="Q511" s="772">
        <f t="shared" ref="Q511:Q515" si="34">G511</f>
        <v>10000000</v>
      </c>
      <c r="R511" s="772">
        <f>Q511/VLOOKUP(H511,'Currency Conversion'!$B$2:$C$16,2,0)</f>
        <v>9469696.9696969688</v>
      </c>
      <c r="S511" s="749"/>
      <c r="T511" s="757" t="s">
        <v>195</v>
      </c>
      <c r="U511" s="756" t="s">
        <v>1451</v>
      </c>
      <c r="V511" s="756" t="s">
        <v>1452</v>
      </c>
      <c r="W511" s="756" t="s">
        <v>1453</v>
      </c>
      <c r="X511" s="532" t="s">
        <v>194</v>
      </c>
      <c r="Y511" s="759">
        <v>0</v>
      </c>
      <c r="Z511" s="757">
        <v>0</v>
      </c>
      <c r="AA511" s="799" t="s">
        <v>194</v>
      </c>
      <c r="AB511" s="775"/>
      <c r="AC511" s="775"/>
      <c r="AD511" s="775"/>
      <c r="AE511" s="775"/>
      <c r="AF511" s="775"/>
      <c r="AG511" s="775"/>
      <c r="AH511" s="775"/>
      <c r="AI511" s="775"/>
      <c r="AJ511" s="775"/>
      <c r="AK511" s="775"/>
      <c r="AL511" s="775"/>
      <c r="AM511" s="775"/>
      <c r="AN511" s="775"/>
      <c r="AO511" s="775"/>
      <c r="AP511" s="775"/>
    </row>
    <row r="512" spans="1:42" s="141" customFormat="1" ht="63" customHeight="1">
      <c r="A512" s="775" t="s">
        <v>1454</v>
      </c>
      <c r="B512" s="775" t="s">
        <v>1449</v>
      </c>
      <c r="C512" s="780">
        <v>44671</v>
      </c>
      <c r="D512" s="775" t="s">
        <v>190</v>
      </c>
      <c r="E512" s="775" t="s">
        <v>199</v>
      </c>
      <c r="F512" s="773" t="s">
        <v>1455</v>
      </c>
      <c r="G512" s="777">
        <v>30000000</v>
      </c>
      <c r="H512" s="757" t="s">
        <v>260</v>
      </c>
      <c r="I512" s="793" t="s">
        <v>194</v>
      </c>
      <c r="J512" s="658" t="str">
        <f>VLOOKUP($I512,Prices!A:B,2,0)</f>
        <v>.</v>
      </c>
      <c r="K512" s="790" t="s">
        <v>194</v>
      </c>
      <c r="L512" s="643" t="s">
        <v>194</v>
      </c>
      <c r="M512" s="788" t="s">
        <v>194</v>
      </c>
      <c r="N512" s="708" t="str">
        <f>VLOOKUP($I512,Prices!A:D,4,0)</f>
        <v>.</v>
      </c>
      <c r="O512" s="769" t="s">
        <v>194</v>
      </c>
      <c r="P512" s="793" t="s">
        <v>194</v>
      </c>
      <c r="Q512" s="772">
        <f t="shared" si="34"/>
        <v>30000000</v>
      </c>
      <c r="R512" s="772">
        <f>Q512/VLOOKUP(H512,'Currency Conversion'!$B$2:$C$16,2,0)</f>
        <v>28409090.909090906</v>
      </c>
      <c r="S512" s="749"/>
      <c r="T512" s="757" t="s">
        <v>298</v>
      </c>
      <c r="U512" s="756" t="s">
        <v>1452</v>
      </c>
      <c r="V512" s="756" t="s">
        <v>1456</v>
      </c>
      <c r="W512" s="756" t="s">
        <v>1457</v>
      </c>
      <c r="X512" s="532" t="s">
        <v>194</v>
      </c>
      <c r="Y512" s="759">
        <v>0</v>
      </c>
      <c r="Z512" s="757">
        <v>0</v>
      </c>
      <c r="AA512" s="799" t="s">
        <v>194</v>
      </c>
      <c r="AB512" s="775"/>
      <c r="AC512" s="775"/>
      <c r="AD512" s="775"/>
      <c r="AE512" s="775"/>
      <c r="AF512" s="775"/>
      <c r="AG512" s="775"/>
      <c r="AH512" s="775"/>
      <c r="AI512" s="775"/>
      <c r="AJ512" s="775"/>
      <c r="AK512" s="775"/>
      <c r="AL512" s="775"/>
      <c r="AM512" s="775"/>
      <c r="AN512" s="775"/>
      <c r="AO512" s="775"/>
      <c r="AP512" s="775"/>
    </row>
    <row r="513" spans="1:42" s="141" customFormat="1" ht="63" customHeight="1">
      <c r="A513" s="775" t="s">
        <v>1458</v>
      </c>
      <c r="B513" s="775" t="s">
        <v>1449</v>
      </c>
      <c r="C513" s="780">
        <v>44720</v>
      </c>
      <c r="D513" s="775" t="s">
        <v>190</v>
      </c>
      <c r="E513" s="775" t="s">
        <v>191</v>
      </c>
      <c r="F513" s="773" t="s">
        <v>1459</v>
      </c>
      <c r="G513" s="777">
        <v>1200000</v>
      </c>
      <c r="H513" s="757" t="s">
        <v>260</v>
      </c>
      <c r="I513" s="793" t="s">
        <v>194</v>
      </c>
      <c r="J513" s="658" t="str">
        <f>VLOOKUP($I513,Prices!A:B,2,0)</f>
        <v>.</v>
      </c>
      <c r="K513" s="790" t="s">
        <v>194</v>
      </c>
      <c r="L513" s="788" t="s">
        <v>194</v>
      </c>
      <c r="M513" s="788" t="s">
        <v>194</v>
      </c>
      <c r="N513" s="708" t="s">
        <v>194</v>
      </c>
      <c r="O513" s="769" t="s">
        <v>194</v>
      </c>
      <c r="P513" s="793" t="s">
        <v>194</v>
      </c>
      <c r="Q513" s="772">
        <f t="shared" si="34"/>
        <v>1200000</v>
      </c>
      <c r="R513" s="772">
        <f>Q513/VLOOKUP(H513,'Currency Conversion'!$B$2:$C$16,2,0)</f>
        <v>1136363.6363636362</v>
      </c>
      <c r="S513" s="749"/>
      <c r="T513" s="757" t="s">
        <v>240</v>
      </c>
      <c r="U513" s="756" t="s">
        <v>1460</v>
      </c>
      <c r="V513" s="756" t="s">
        <v>1461</v>
      </c>
      <c r="W513" s="756"/>
      <c r="X513" s="532"/>
      <c r="Y513" s="759">
        <v>0</v>
      </c>
      <c r="Z513" s="757">
        <v>1</v>
      </c>
      <c r="AA513" s="799"/>
      <c r="AB513" s="775"/>
      <c r="AC513" s="775"/>
      <c r="AD513" s="775"/>
      <c r="AE513" s="775"/>
      <c r="AF513" s="775"/>
      <c r="AG513" s="775"/>
      <c r="AH513" s="775"/>
      <c r="AI513" s="775"/>
      <c r="AJ513" s="775"/>
      <c r="AK513" s="775"/>
      <c r="AL513" s="775"/>
      <c r="AM513" s="775"/>
      <c r="AN513" s="775"/>
      <c r="AO513" s="775"/>
      <c r="AP513" s="775"/>
    </row>
    <row r="514" spans="1:42" s="141" customFormat="1" ht="79.5" customHeight="1">
      <c r="A514" s="775" t="s">
        <v>1462</v>
      </c>
      <c r="B514" s="775" t="s">
        <v>1449</v>
      </c>
      <c r="C514" s="794">
        <v>44621</v>
      </c>
      <c r="D514" s="775" t="s">
        <v>212</v>
      </c>
      <c r="E514" s="775" t="s">
        <v>221</v>
      </c>
      <c r="F514" s="773" t="s">
        <v>1463</v>
      </c>
      <c r="G514" s="777">
        <v>800000</v>
      </c>
      <c r="H514" s="757" t="s">
        <v>260</v>
      </c>
      <c r="I514" s="793" t="s">
        <v>194</v>
      </c>
      <c r="J514" s="658" t="str">
        <f>VLOOKUP($I514,Prices!A:B,2,0)</f>
        <v>.</v>
      </c>
      <c r="K514" s="790" t="s">
        <v>194</v>
      </c>
      <c r="L514" s="643" t="s">
        <v>194</v>
      </c>
      <c r="M514" s="788"/>
      <c r="N514" s="647" t="str">
        <f>VLOOKUP($I514,Prices!A:D,4,0)</f>
        <v>.</v>
      </c>
      <c r="O514" s="769" t="s">
        <v>194</v>
      </c>
      <c r="P514" s="793" t="s">
        <v>194</v>
      </c>
      <c r="Q514" s="772">
        <f t="shared" si="34"/>
        <v>800000</v>
      </c>
      <c r="R514" s="772">
        <f>Q514/VLOOKUP(H514,'Currency Conversion'!$B$2:$C$16,2,0)</f>
        <v>757575.75757575757</v>
      </c>
      <c r="S514" s="749"/>
      <c r="T514" s="757" t="s">
        <v>298</v>
      </c>
      <c r="U514" s="756" t="s">
        <v>1464</v>
      </c>
      <c r="V514" s="756" t="s">
        <v>1465</v>
      </c>
      <c r="W514" s="756" t="s">
        <v>1466</v>
      </c>
      <c r="X514" s="532" t="s">
        <v>194</v>
      </c>
      <c r="Y514" s="759">
        <v>0</v>
      </c>
      <c r="Z514" s="757">
        <v>0</v>
      </c>
      <c r="AA514" s="799" t="s">
        <v>194</v>
      </c>
      <c r="AB514" s="775"/>
      <c r="AC514" s="775"/>
      <c r="AD514" s="775"/>
      <c r="AE514" s="775"/>
      <c r="AF514" s="775"/>
      <c r="AG514" s="775"/>
      <c r="AH514" s="775"/>
      <c r="AI514" s="775"/>
      <c r="AJ514" s="775"/>
      <c r="AK514" s="775"/>
      <c r="AL514" s="775"/>
      <c r="AM514" s="775"/>
      <c r="AN514" s="775"/>
      <c r="AO514" s="775"/>
      <c r="AP514" s="775"/>
    </row>
    <row r="515" spans="1:42" s="141" customFormat="1" ht="23.25" customHeight="1">
      <c r="A515" s="868" t="s">
        <v>1467</v>
      </c>
      <c r="B515" s="868" t="s">
        <v>1449</v>
      </c>
      <c r="C515" s="867">
        <v>44664</v>
      </c>
      <c r="D515" s="868" t="s">
        <v>212</v>
      </c>
      <c r="E515" s="868" t="s">
        <v>221</v>
      </c>
      <c r="F515" s="890" t="s">
        <v>1468</v>
      </c>
      <c r="G515" s="875">
        <v>1600000</v>
      </c>
      <c r="H515" s="870" t="s">
        <v>260</v>
      </c>
      <c r="I515" s="793" t="s">
        <v>348</v>
      </c>
      <c r="J515" s="658">
        <f>VLOOKUP($I515,Prices!A:B,2,0)</f>
        <v>1</v>
      </c>
      <c r="K515" s="790">
        <f>VLOOKUP(I515,Prices!A:C,3,0)</f>
        <v>0</v>
      </c>
      <c r="L515" s="643" t="s">
        <v>224</v>
      </c>
      <c r="M515" s="643"/>
      <c r="N515" s="707">
        <f>VLOOKUP($I515,Prices!A:D,4,0)</f>
        <v>500</v>
      </c>
      <c r="O515" s="769" t="s">
        <v>194</v>
      </c>
      <c r="P515" s="793">
        <f t="shared" si="32"/>
        <v>0</v>
      </c>
      <c r="Q515" s="869">
        <f t="shared" si="34"/>
        <v>1600000</v>
      </c>
      <c r="R515" s="869">
        <f>Q515/VLOOKUP(H515,'Currency Conversion'!$B$2:$C$16,2,0)</f>
        <v>1515151.5151515151</v>
      </c>
      <c r="S515" s="749"/>
      <c r="T515" s="870" t="s">
        <v>298</v>
      </c>
      <c r="U515" s="854" t="s">
        <v>1469</v>
      </c>
      <c r="V515" s="854" t="s">
        <v>1470</v>
      </c>
      <c r="W515" s="890" t="s">
        <v>194</v>
      </c>
      <c r="X515" s="880" t="s">
        <v>194</v>
      </c>
      <c r="Y515" s="878">
        <v>0</v>
      </c>
      <c r="Z515" s="870">
        <v>0</v>
      </c>
      <c r="AA515" s="894" t="s">
        <v>194</v>
      </c>
      <c r="AB515" s="775"/>
      <c r="AC515" s="775"/>
      <c r="AD515" s="775"/>
      <c r="AE515" s="775"/>
      <c r="AF515" s="775"/>
      <c r="AG515" s="775"/>
      <c r="AH515" s="775"/>
      <c r="AI515" s="775"/>
      <c r="AJ515" s="775"/>
      <c r="AK515" s="775"/>
      <c r="AL515" s="775"/>
      <c r="AM515" s="775"/>
      <c r="AN515" s="775"/>
      <c r="AO515" s="775"/>
      <c r="AP515" s="775"/>
    </row>
    <row r="516" spans="1:42" s="141" customFormat="1" ht="15.75" customHeight="1">
      <c r="A516" s="868"/>
      <c r="B516" s="868"/>
      <c r="C516" s="867"/>
      <c r="D516" s="868"/>
      <c r="E516" s="868"/>
      <c r="F516" s="890"/>
      <c r="G516" s="875"/>
      <c r="H516" s="870"/>
      <c r="I516" s="793" t="s">
        <v>344</v>
      </c>
      <c r="J516" s="658">
        <f>VLOOKUP($I516,Prices!A:B,2,0)</f>
        <v>1</v>
      </c>
      <c r="K516" s="790">
        <f>VLOOKUP(I516,Prices!A:C,3,0)</f>
        <v>0</v>
      </c>
      <c r="L516" s="643" t="s">
        <v>224</v>
      </c>
      <c r="M516" s="643"/>
      <c r="N516" s="647">
        <f>VLOOKUP($I516,Prices!A:D,4,0)</f>
        <v>1400</v>
      </c>
      <c r="O516" s="769" t="s">
        <v>194</v>
      </c>
      <c r="P516" s="793">
        <f t="shared" si="32"/>
        <v>0</v>
      </c>
      <c r="Q516" s="869"/>
      <c r="R516" s="869"/>
      <c r="S516" s="749"/>
      <c r="T516" s="870"/>
      <c r="U516" s="854"/>
      <c r="V516" s="854"/>
      <c r="W516" s="890"/>
      <c r="X516" s="880"/>
      <c r="Y516" s="878"/>
      <c r="Z516" s="870"/>
      <c r="AA516" s="894"/>
      <c r="AB516" s="775"/>
      <c r="AC516" s="775"/>
      <c r="AD516" s="775"/>
      <c r="AE516" s="775"/>
      <c r="AF516" s="775"/>
      <c r="AG516" s="775"/>
      <c r="AH516" s="775"/>
      <c r="AI516" s="775"/>
      <c r="AJ516" s="775"/>
      <c r="AK516" s="775"/>
      <c r="AL516" s="775"/>
      <c r="AM516" s="775"/>
      <c r="AN516" s="775"/>
      <c r="AO516" s="775"/>
      <c r="AP516" s="775"/>
    </row>
    <row r="517" spans="1:42" s="141" customFormat="1" ht="15.75" customHeight="1">
      <c r="A517" s="868"/>
      <c r="B517" s="868"/>
      <c r="C517" s="867"/>
      <c r="D517" s="868"/>
      <c r="E517" s="868"/>
      <c r="F517" s="890"/>
      <c r="G517" s="875"/>
      <c r="H517" s="870"/>
      <c r="I517" s="793" t="s">
        <v>1471</v>
      </c>
      <c r="J517" s="658">
        <f>VLOOKUP($I517,Prices!A:B,2,0)</f>
        <v>1</v>
      </c>
      <c r="K517" s="790">
        <f>VLOOKUP(I517,Prices!A:C,3,0)</f>
        <v>0</v>
      </c>
      <c r="L517" s="643" t="s">
        <v>224</v>
      </c>
      <c r="M517" s="643"/>
      <c r="N517" s="707" t="str">
        <f>VLOOKUP($I517,Prices!A:D,4,0)</f>
        <v>.</v>
      </c>
      <c r="O517" s="769" t="s">
        <v>194</v>
      </c>
      <c r="P517" s="793" t="s">
        <v>194</v>
      </c>
      <c r="Q517" s="869"/>
      <c r="R517" s="869"/>
      <c r="S517" s="749"/>
      <c r="T517" s="870"/>
      <c r="U517" s="854"/>
      <c r="V517" s="854"/>
      <c r="W517" s="890"/>
      <c r="X517" s="880"/>
      <c r="Y517" s="878"/>
      <c r="Z517" s="870"/>
      <c r="AA517" s="894"/>
      <c r="AB517" s="775"/>
      <c r="AC517" s="775"/>
      <c r="AD517" s="775"/>
      <c r="AE517" s="775"/>
      <c r="AF517" s="775"/>
      <c r="AG517" s="775"/>
      <c r="AH517" s="775"/>
      <c r="AI517" s="775"/>
      <c r="AJ517" s="775"/>
      <c r="AK517" s="775"/>
      <c r="AL517" s="775"/>
      <c r="AM517" s="775"/>
      <c r="AN517" s="775"/>
      <c r="AO517" s="775"/>
      <c r="AP517" s="775"/>
    </row>
    <row r="518" spans="1:42" s="141" customFormat="1" ht="15.75" customHeight="1">
      <c r="A518" s="868"/>
      <c r="B518" s="868"/>
      <c r="C518" s="867"/>
      <c r="D518" s="868"/>
      <c r="E518" s="868"/>
      <c r="F518" s="890"/>
      <c r="G518" s="875"/>
      <c r="H518" s="870"/>
      <c r="I518" s="793" t="s">
        <v>1139</v>
      </c>
      <c r="J518" s="658">
        <f>VLOOKUP($I518,Prices!A:B,2,0)</f>
        <v>1</v>
      </c>
      <c r="K518" s="790">
        <f>VLOOKUP(I518,Prices!A:C,3,0)</f>
        <v>0</v>
      </c>
      <c r="L518" s="643" t="s">
        <v>224</v>
      </c>
      <c r="M518" s="643"/>
      <c r="N518" s="647" t="str">
        <f>VLOOKUP($I518,Prices!A:D,4,0)</f>
        <v>.</v>
      </c>
      <c r="O518" s="769" t="s">
        <v>194</v>
      </c>
      <c r="P518" s="793" t="s">
        <v>194</v>
      </c>
      <c r="Q518" s="869"/>
      <c r="R518" s="869"/>
      <c r="S518" s="749"/>
      <c r="T518" s="870"/>
      <c r="U518" s="854"/>
      <c r="V518" s="854"/>
      <c r="W518" s="890"/>
      <c r="X518" s="880"/>
      <c r="Y518" s="878"/>
      <c r="Z518" s="870"/>
      <c r="AA518" s="894"/>
      <c r="AB518" s="775"/>
      <c r="AC518" s="775"/>
      <c r="AD518" s="775"/>
      <c r="AE518" s="775"/>
      <c r="AF518" s="775"/>
      <c r="AG518" s="775"/>
      <c r="AH518" s="775"/>
      <c r="AI518" s="775"/>
      <c r="AJ518" s="775"/>
      <c r="AK518" s="775"/>
      <c r="AL518" s="775"/>
      <c r="AM518" s="775"/>
      <c r="AN518" s="775"/>
      <c r="AO518" s="775"/>
      <c r="AP518" s="775"/>
    </row>
    <row r="519" spans="1:42" s="141" customFormat="1" ht="84" customHeight="1">
      <c r="A519" s="775" t="s">
        <v>1472</v>
      </c>
      <c r="B519" s="775" t="s">
        <v>1449</v>
      </c>
      <c r="C519" s="780">
        <v>44707</v>
      </c>
      <c r="D519" s="775" t="s">
        <v>212</v>
      </c>
      <c r="E519" s="775" t="s">
        <v>221</v>
      </c>
      <c r="F519" s="773" t="s">
        <v>1473</v>
      </c>
      <c r="G519" s="777">
        <v>1180000</v>
      </c>
      <c r="H519" s="757" t="s">
        <v>260</v>
      </c>
      <c r="I519" s="793" t="s">
        <v>194</v>
      </c>
      <c r="J519" s="658" t="str">
        <f>VLOOKUP($I519,Prices!A:B,2,0)</f>
        <v>.</v>
      </c>
      <c r="K519" s="790" t="s">
        <v>194</v>
      </c>
      <c r="L519" s="788"/>
      <c r="M519" s="788" t="s">
        <v>194</v>
      </c>
      <c r="N519" s="708" t="str">
        <f>VLOOKUP($I519,Prices!A:D,4,0)</f>
        <v>.</v>
      </c>
      <c r="O519" s="769" t="s">
        <v>194</v>
      </c>
      <c r="P519" s="793" t="s">
        <v>194</v>
      </c>
      <c r="Q519" s="772">
        <f>G519</f>
        <v>1180000</v>
      </c>
      <c r="R519" s="772">
        <f>Q519/VLOOKUP(H519,'Currency Conversion'!$B$2:$C$16,2,0)</f>
        <v>1117424.2424242424</v>
      </c>
      <c r="S519" s="749"/>
      <c r="T519" s="757" t="s">
        <v>298</v>
      </c>
      <c r="U519" s="756" t="s">
        <v>1474</v>
      </c>
      <c r="V519" s="756" t="s">
        <v>1475</v>
      </c>
      <c r="W519" s="756" t="s">
        <v>1476</v>
      </c>
      <c r="X519" s="532" t="s">
        <v>194</v>
      </c>
      <c r="Y519" s="759">
        <v>0</v>
      </c>
      <c r="Z519" s="757">
        <v>0</v>
      </c>
      <c r="AA519" s="799" t="s">
        <v>194</v>
      </c>
      <c r="AB519" s="775"/>
      <c r="AC519" s="775"/>
      <c r="AD519" s="775"/>
      <c r="AE519" s="775"/>
      <c r="AF519" s="775"/>
      <c r="AG519" s="775"/>
      <c r="AH519" s="775"/>
      <c r="AI519" s="775"/>
      <c r="AJ519" s="775"/>
      <c r="AK519" s="775"/>
      <c r="AL519" s="775"/>
      <c r="AM519" s="775"/>
      <c r="AN519" s="775"/>
      <c r="AO519" s="775"/>
      <c r="AP519" s="775"/>
    </row>
    <row r="520" spans="1:42" s="141" customFormat="1" ht="78.75" customHeight="1">
      <c r="A520" s="868" t="s">
        <v>1477</v>
      </c>
      <c r="B520" s="868" t="s">
        <v>1478</v>
      </c>
      <c r="C520" s="867">
        <v>44614</v>
      </c>
      <c r="D520" s="868" t="s">
        <v>190</v>
      </c>
      <c r="E520" s="868" t="s">
        <v>199</v>
      </c>
      <c r="F520" s="890" t="s">
        <v>1479</v>
      </c>
      <c r="G520" s="869" t="s">
        <v>259</v>
      </c>
      <c r="H520" s="870" t="s">
        <v>260</v>
      </c>
      <c r="I520" s="775" t="s">
        <v>1480</v>
      </c>
      <c r="J520" s="658">
        <f>VLOOKUP($I520,Prices!A:B,2,0)</f>
        <v>0</v>
      </c>
      <c r="K520" s="790">
        <f>VLOOKUP(I520,Prices!A:C,3,0)</f>
        <v>0</v>
      </c>
      <c r="L520" s="788">
        <v>5000</v>
      </c>
      <c r="M520" s="788" t="s">
        <v>194</v>
      </c>
      <c r="N520" s="647">
        <f>VLOOKUP($I520,Prices!A:D,4,0)</f>
        <v>6.4310400000000003</v>
      </c>
      <c r="O520" s="769">
        <f t="shared" si="31"/>
        <v>32155.200000000001</v>
      </c>
      <c r="P520" s="793" t="s">
        <v>194</v>
      </c>
      <c r="Q520" s="869">
        <f>SUM(O520:O523)</f>
        <v>144087.20000000001</v>
      </c>
      <c r="R520" s="869">
        <f>Q520/VLOOKUP(H520, 'Currency Conversion'!B:C, 2, 0)</f>
        <v>136446.21212121213</v>
      </c>
      <c r="S520" s="886" t="s">
        <v>194</v>
      </c>
      <c r="T520" s="878" t="s">
        <v>240</v>
      </c>
      <c r="U520" s="854" t="s">
        <v>1481</v>
      </c>
      <c r="V520" s="854" t="s">
        <v>1482</v>
      </c>
      <c r="W520" s="882" t="s">
        <v>194</v>
      </c>
      <c r="X520" s="900" t="s">
        <v>194</v>
      </c>
      <c r="Y520" s="878">
        <v>0</v>
      </c>
      <c r="Z520" s="888">
        <v>0</v>
      </c>
      <c r="AA520" s="894" t="s">
        <v>194</v>
      </c>
      <c r="AB520" s="775"/>
      <c r="AC520" s="775"/>
      <c r="AD520" s="775"/>
      <c r="AE520" s="775"/>
      <c r="AF520" s="775"/>
      <c r="AG520" s="775"/>
      <c r="AH520" s="775"/>
      <c r="AI520" s="775"/>
      <c r="AJ520" s="775"/>
      <c r="AK520" s="775"/>
      <c r="AL520" s="775"/>
      <c r="AM520" s="775"/>
      <c r="AN520" s="775"/>
      <c r="AO520" s="775"/>
      <c r="AP520" s="775"/>
    </row>
    <row r="521" spans="1:42" s="141" customFormat="1" ht="15.75" customHeight="1">
      <c r="A521" s="868"/>
      <c r="B521" s="868"/>
      <c r="C521" s="867"/>
      <c r="D521" s="868"/>
      <c r="E521" s="868"/>
      <c r="F521" s="890"/>
      <c r="G521" s="869"/>
      <c r="H521" s="870"/>
      <c r="I521" s="775" t="s">
        <v>1483</v>
      </c>
      <c r="J521" s="658">
        <f>VLOOKUP($I521,Prices!A:B,2,0)</f>
        <v>0</v>
      </c>
      <c r="K521" s="790">
        <f>VLOOKUP(I521,Prices!A:C,3,0)</f>
        <v>0</v>
      </c>
      <c r="L521" s="788">
        <v>5000</v>
      </c>
      <c r="M521" s="788" t="s">
        <v>194</v>
      </c>
      <c r="N521" s="708" t="str">
        <f>VLOOKUP($I521,Prices!A:D,4,0)</f>
        <v>.</v>
      </c>
      <c r="O521" s="769" t="s">
        <v>194</v>
      </c>
      <c r="P521" s="793" t="s">
        <v>194</v>
      </c>
      <c r="Q521" s="869"/>
      <c r="R521" s="869"/>
      <c r="S521" s="886"/>
      <c r="T521" s="878"/>
      <c r="U521" s="854"/>
      <c r="V521" s="854"/>
      <c r="W521" s="882"/>
      <c r="X521" s="900"/>
      <c r="Y521" s="878"/>
      <c r="Z521" s="888"/>
      <c r="AA521" s="894"/>
      <c r="AB521" s="775"/>
      <c r="AC521" s="775"/>
      <c r="AD521" s="775"/>
      <c r="AE521" s="775"/>
      <c r="AF521" s="775"/>
      <c r="AG521" s="775"/>
      <c r="AH521" s="775"/>
      <c r="AI521" s="775"/>
      <c r="AJ521" s="775"/>
      <c r="AK521" s="775"/>
      <c r="AL521" s="775"/>
      <c r="AM521" s="775"/>
      <c r="AN521" s="775"/>
      <c r="AO521" s="775"/>
      <c r="AP521" s="775"/>
    </row>
    <row r="522" spans="1:42" s="141" customFormat="1" ht="15.75" customHeight="1">
      <c r="A522" s="868"/>
      <c r="B522" s="868"/>
      <c r="C522" s="867"/>
      <c r="D522" s="868"/>
      <c r="E522" s="868"/>
      <c r="F522" s="890"/>
      <c r="G522" s="869"/>
      <c r="H522" s="870"/>
      <c r="I522" s="775" t="s">
        <v>1484</v>
      </c>
      <c r="J522" s="658">
        <f>VLOOKUP($I522,Prices!A:B,2,0)</f>
        <v>0</v>
      </c>
      <c r="K522" s="790">
        <f>VLOOKUP(I522,Prices!A:C,3,0)</f>
        <v>0</v>
      </c>
      <c r="L522" s="788">
        <v>5000</v>
      </c>
      <c r="M522" s="788" t="s">
        <v>194</v>
      </c>
      <c r="N522" s="647">
        <f>VLOOKUP($I522,Prices!A:D,4,0)</f>
        <v>22</v>
      </c>
      <c r="O522" s="769">
        <f t="shared" si="31"/>
        <v>110000</v>
      </c>
      <c r="P522" s="793" t="s">
        <v>194</v>
      </c>
      <c r="Q522" s="869"/>
      <c r="R522" s="869"/>
      <c r="S522" s="886"/>
      <c r="T522" s="878"/>
      <c r="U522" s="854"/>
      <c r="V522" s="854"/>
      <c r="W522" s="882"/>
      <c r="X522" s="900"/>
      <c r="Y522" s="878"/>
      <c r="Z522" s="888"/>
      <c r="AA522" s="894"/>
      <c r="AB522" s="775"/>
      <c r="AC522" s="775"/>
      <c r="AD522" s="775"/>
      <c r="AE522" s="775"/>
      <c r="AF522" s="775"/>
      <c r="AG522" s="775"/>
      <c r="AH522" s="775"/>
      <c r="AI522" s="775"/>
      <c r="AJ522" s="775"/>
      <c r="AK522" s="775"/>
      <c r="AL522" s="775"/>
      <c r="AM522" s="775"/>
      <c r="AN522" s="775"/>
      <c r="AO522" s="775"/>
      <c r="AP522" s="775"/>
    </row>
    <row r="523" spans="1:42" s="141" customFormat="1">
      <c r="A523" s="868"/>
      <c r="B523" s="868"/>
      <c r="C523" s="867"/>
      <c r="D523" s="868"/>
      <c r="E523" s="868"/>
      <c r="F523" s="890"/>
      <c r="G523" s="869"/>
      <c r="H523" s="870"/>
      <c r="I523" s="775" t="s">
        <v>261</v>
      </c>
      <c r="J523" s="658">
        <f>VLOOKUP($I523,Prices!A:B,2,0)</f>
        <v>0</v>
      </c>
      <c r="K523" s="790">
        <f>VLOOKUP(I523,Prices!A:C,3,0)</f>
        <v>0</v>
      </c>
      <c r="L523" s="788">
        <v>840</v>
      </c>
      <c r="M523" s="788" t="s">
        <v>194</v>
      </c>
      <c r="N523" s="707">
        <f>VLOOKUP($I523,Prices!A:D,4,0)</f>
        <v>2.2999999999999998</v>
      </c>
      <c r="O523" s="769">
        <f t="shared" si="31"/>
        <v>1931.9999999999998</v>
      </c>
      <c r="P523" s="793" t="s">
        <v>194</v>
      </c>
      <c r="Q523" s="869"/>
      <c r="R523" s="869"/>
      <c r="S523" s="886"/>
      <c r="T523" s="878"/>
      <c r="U523" s="854"/>
      <c r="V523" s="854"/>
      <c r="W523" s="882"/>
      <c r="X523" s="900"/>
      <c r="Y523" s="878"/>
      <c r="Z523" s="888"/>
      <c r="AA523" s="894"/>
      <c r="AB523" s="775"/>
      <c r="AC523" s="775"/>
      <c r="AD523" s="775"/>
      <c r="AE523" s="775"/>
      <c r="AF523" s="775"/>
      <c r="AG523" s="775"/>
      <c r="AH523" s="775"/>
      <c r="AI523" s="775"/>
      <c r="AJ523" s="775"/>
      <c r="AK523" s="775"/>
      <c r="AL523" s="775"/>
      <c r="AM523" s="775"/>
      <c r="AN523" s="775"/>
      <c r="AO523" s="775"/>
      <c r="AP523" s="775"/>
    </row>
    <row r="524" spans="1:42" s="141" customFormat="1" ht="42.95" customHeight="1">
      <c r="A524" s="775" t="s">
        <v>1485</v>
      </c>
      <c r="B524" s="775" t="s">
        <v>1478</v>
      </c>
      <c r="C524" s="780">
        <v>44621</v>
      </c>
      <c r="D524" s="775" t="s">
        <v>190</v>
      </c>
      <c r="E524" s="775" t="s">
        <v>1486</v>
      </c>
      <c r="F524" s="773" t="s">
        <v>1487</v>
      </c>
      <c r="G524" s="778">
        <v>5000000</v>
      </c>
      <c r="H524" s="757" t="s">
        <v>1488</v>
      </c>
      <c r="I524" s="775" t="s">
        <v>194</v>
      </c>
      <c r="J524" s="658" t="str">
        <f>VLOOKUP($I524,Prices!A:B,2,0)</f>
        <v>.</v>
      </c>
      <c r="K524" s="790" t="s">
        <v>194</v>
      </c>
      <c r="L524" s="788" t="s">
        <v>194</v>
      </c>
      <c r="M524" s="788" t="s">
        <v>194</v>
      </c>
      <c r="N524" s="647" t="str">
        <f>VLOOKUP($I524,Prices!A:D,4,0)</f>
        <v>.</v>
      </c>
      <c r="O524" s="769" t="s">
        <v>194</v>
      </c>
      <c r="P524" s="793" t="s">
        <v>194</v>
      </c>
      <c r="Q524" s="772">
        <f>G524</f>
        <v>5000000</v>
      </c>
      <c r="R524" s="772">
        <f>Q524/VLOOKUP(H524, 'Currency Conversion'!B:C, 2, 0)</f>
        <v>1011224.5929821014</v>
      </c>
      <c r="S524" s="749" t="s">
        <v>194</v>
      </c>
      <c r="T524" s="757" t="s">
        <v>195</v>
      </c>
      <c r="U524" s="756" t="s">
        <v>1489</v>
      </c>
      <c r="V524" s="773" t="s">
        <v>194</v>
      </c>
      <c r="W524" s="773" t="s">
        <v>194</v>
      </c>
      <c r="X524" s="784" t="s">
        <v>194</v>
      </c>
      <c r="Y524" s="759">
        <v>0</v>
      </c>
      <c r="Z524" s="761">
        <v>0</v>
      </c>
      <c r="AA524" s="799" t="s">
        <v>194</v>
      </c>
      <c r="AB524" s="775"/>
      <c r="AC524" s="775"/>
      <c r="AD524" s="775"/>
      <c r="AE524" s="775"/>
      <c r="AF524" s="775"/>
      <c r="AG524" s="775"/>
      <c r="AH524" s="775"/>
      <c r="AI524" s="775"/>
      <c r="AJ524" s="775"/>
      <c r="AK524" s="775"/>
      <c r="AL524" s="775"/>
      <c r="AM524" s="775"/>
      <c r="AN524" s="775"/>
      <c r="AO524" s="775"/>
      <c r="AP524" s="775"/>
    </row>
    <row r="525" spans="1:42" s="141" customFormat="1" ht="42.95" customHeight="1">
      <c r="A525" s="775" t="s">
        <v>1490</v>
      </c>
      <c r="B525" s="775" t="s">
        <v>1478</v>
      </c>
      <c r="C525" s="780">
        <v>44669</v>
      </c>
      <c r="D525" s="775" t="s">
        <v>190</v>
      </c>
      <c r="E525" s="775" t="s">
        <v>199</v>
      </c>
      <c r="F525" s="773" t="s">
        <v>1491</v>
      </c>
      <c r="G525" s="778" t="s">
        <v>201</v>
      </c>
      <c r="H525" s="757" t="s">
        <v>260</v>
      </c>
      <c r="I525" s="775" t="s">
        <v>272</v>
      </c>
      <c r="J525" s="658">
        <f>VLOOKUP($I525,Prices!A:B,2,0)</f>
        <v>0</v>
      </c>
      <c r="K525" s="790">
        <f>VLOOKUP(I525,Prices!A:C,3,0)</f>
        <v>0</v>
      </c>
      <c r="L525" s="788">
        <v>11</v>
      </c>
      <c r="M525" s="788" t="s">
        <v>194</v>
      </c>
      <c r="N525" s="707">
        <f>VLOOKUP($I525,Prices!A:D,4,0)</f>
        <v>220000</v>
      </c>
      <c r="O525" s="769">
        <f t="shared" si="31"/>
        <v>2420000</v>
      </c>
      <c r="P525" s="793" t="s">
        <v>194</v>
      </c>
      <c r="Q525" s="772">
        <f>O525</f>
        <v>2420000</v>
      </c>
      <c r="R525" s="772">
        <f>Q525/VLOOKUP(H525, 'Currency Conversion'!B:C, 2, 0)</f>
        <v>2291666.6666666665</v>
      </c>
      <c r="S525" s="749" t="s">
        <v>194</v>
      </c>
      <c r="T525" s="757" t="s">
        <v>298</v>
      </c>
      <c r="U525" s="756" t="s">
        <v>1492</v>
      </c>
      <c r="V525" s="773" t="s">
        <v>194</v>
      </c>
      <c r="W525" s="773" t="s">
        <v>194</v>
      </c>
      <c r="X525" s="784" t="s">
        <v>194</v>
      </c>
      <c r="Y525" s="759">
        <v>0</v>
      </c>
      <c r="Z525" s="761">
        <v>0</v>
      </c>
      <c r="AA525" s="799" t="s">
        <v>194</v>
      </c>
      <c r="AB525" s="775"/>
      <c r="AC525" s="775"/>
      <c r="AD525" s="775"/>
      <c r="AE525" s="775"/>
      <c r="AF525" s="775"/>
      <c r="AG525" s="775"/>
      <c r="AH525" s="775"/>
      <c r="AI525" s="775"/>
      <c r="AJ525" s="775"/>
      <c r="AK525" s="775"/>
      <c r="AL525" s="775"/>
      <c r="AM525" s="775"/>
      <c r="AN525" s="775"/>
      <c r="AO525" s="775"/>
      <c r="AP525" s="775"/>
    </row>
    <row r="526" spans="1:42" s="141" customFormat="1" ht="42.95" customHeight="1">
      <c r="A526" s="775" t="s">
        <v>1493</v>
      </c>
      <c r="B526" s="775" t="s">
        <v>1478</v>
      </c>
      <c r="C526" s="780">
        <v>44686</v>
      </c>
      <c r="D526" s="775" t="s">
        <v>190</v>
      </c>
      <c r="E526" s="775" t="s">
        <v>199</v>
      </c>
      <c r="F526" s="686" t="s">
        <v>1494</v>
      </c>
      <c r="G526" s="778">
        <v>3200000</v>
      </c>
      <c r="H526" s="757" t="s">
        <v>278</v>
      </c>
      <c r="I526" s="775" t="s">
        <v>319</v>
      </c>
      <c r="J526" s="658">
        <f>VLOOKUP($I526,Prices!A:B,2,0)</f>
        <v>1</v>
      </c>
      <c r="K526" s="790">
        <f>VLOOKUP(I526,Prices!A:C,3,0)</f>
        <v>0</v>
      </c>
      <c r="L526" s="788">
        <v>1900</v>
      </c>
      <c r="M526" s="788" t="s">
        <v>194</v>
      </c>
      <c r="N526" s="647">
        <f>VLOOKUP($I526,Prices!A:D,4,0)</f>
        <v>1662.5</v>
      </c>
      <c r="O526" s="769">
        <f t="shared" ref="O526:O582" si="35">L526*N526</f>
        <v>3158750</v>
      </c>
      <c r="P526" s="793" t="s">
        <v>194</v>
      </c>
      <c r="Q526" s="772">
        <f>G526</f>
        <v>3200000</v>
      </c>
      <c r="R526" s="772">
        <f>Q526/VLOOKUP(H526, 'Currency Conversion'!B:C, 2, 0)</f>
        <v>3200000</v>
      </c>
      <c r="S526" s="749" t="s">
        <v>194</v>
      </c>
      <c r="T526" s="757" t="s">
        <v>195</v>
      </c>
      <c r="U526" s="756" t="s">
        <v>312</v>
      </c>
      <c r="V526" s="756" t="s">
        <v>1495</v>
      </c>
      <c r="W526" s="773" t="s">
        <v>194</v>
      </c>
      <c r="X526" s="784" t="s">
        <v>194</v>
      </c>
      <c r="Y526" s="759">
        <v>0</v>
      </c>
      <c r="Z526" s="757">
        <v>0</v>
      </c>
      <c r="AA526" s="799" t="s">
        <v>194</v>
      </c>
      <c r="AB526" s="775"/>
      <c r="AC526" s="775"/>
      <c r="AD526" s="775"/>
      <c r="AE526" s="775"/>
      <c r="AF526" s="775"/>
      <c r="AG526" s="775"/>
      <c r="AH526" s="775"/>
      <c r="AI526" s="775"/>
      <c r="AJ526" s="775"/>
      <c r="AK526" s="775"/>
      <c r="AL526" s="775"/>
      <c r="AM526" s="775"/>
      <c r="AN526" s="775"/>
      <c r="AO526" s="775"/>
      <c r="AP526" s="775"/>
    </row>
    <row r="527" spans="1:42" s="141" customFormat="1" ht="47.1" customHeight="1">
      <c r="A527" s="775" t="s">
        <v>1496</v>
      </c>
      <c r="B527" s="775" t="s">
        <v>1478</v>
      </c>
      <c r="C527" s="780">
        <v>44619</v>
      </c>
      <c r="D527" s="775" t="s">
        <v>212</v>
      </c>
      <c r="E527" s="775" t="s">
        <v>213</v>
      </c>
      <c r="F527" s="773" t="s">
        <v>1497</v>
      </c>
      <c r="G527" s="772">
        <v>3000000</v>
      </c>
      <c r="H527" s="757" t="s">
        <v>278</v>
      </c>
      <c r="I527" s="775" t="s">
        <v>692</v>
      </c>
      <c r="J527" s="658">
        <f>VLOOKUP($I527,Prices!A:B,2,0)</f>
        <v>1</v>
      </c>
      <c r="K527" s="790" t="s">
        <v>194</v>
      </c>
      <c r="L527" s="788" t="s">
        <v>194</v>
      </c>
      <c r="M527" s="788" t="s">
        <v>194</v>
      </c>
      <c r="N527" s="707">
        <f>VLOOKUP($I527,Prices!A:D,4,0)</f>
        <v>1.33</v>
      </c>
      <c r="O527" s="769" t="s">
        <v>194</v>
      </c>
      <c r="P527" s="793" t="s">
        <v>194</v>
      </c>
      <c r="Q527" s="772">
        <f>G527</f>
        <v>3000000</v>
      </c>
      <c r="R527" s="772">
        <f>Q527/VLOOKUP(H527, 'Currency Conversion'!B:C, 2, 0)</f>
        <v>3000000</v>
      </c>
      <c r="S527" s="749" t="s">
        <v>194</v>
      </c>
      <c r="T527" s="757" t="s">
        <v>195</v>
      </c>
      <c r="U527" s="756" t="s">
        <v>1498</v>
      </c>
      <c r="V527" s="764" t="s">
        <v>1499</v>
      </c>
      <c r="W527" s="756" t="s">
        <v>1500</v>
      </c>
      <c r="X527" s="784" t="s">
        <v>194</v>
      </c>
      <c r="Y527" s="759">
        <v>0</v>
      </c>
      <c r="Z527" s="761">
        <v>0</v>
      </c>
      <c r="AA527" s="762" t="s">
        <v>1501</v>
      </c>
      <c r="AB527" s="775"/>
      <c r="AC527" s="775"/>
      <c r="AD527" s="775"/>
      <c r="AE527" s="775"/>
      <c r="AF527" s="775"/>
      <c r="AG527" s="775"/>
      <c r="AH527" s="775"/>
      <c r="AI527" s="775"/>
      <c r="AJ527" s="775"/>
      <c r="AK527" s="775"/>
      <c r="AL527" s="775"/>
      <c r="AM527" s="775"/>
      <c r="AN527" s="775"/>
      <c r="AO527" s="775"/>
      <c r="AP527" s="775"/>
    </row>
    <row r="528" spans="1:42" s="141" customFormat="1" ht="47.1" customHeight="1">
      <c r="A528" s="775" t="s">
        <v>1502</v>
      </c>
      <c r="B528" s="775" t="s">
        <v>1478</v>
      </c>
      <c r="C528" s="780">
        <v>44670</v>
      </c>
      <c r="D528" s="775" t="s">
        <v>212</v>
      </c>
      <c r="E528" s="775" t="s">
        <v>320</v>
      </c>
      <c r="F528" s="773" t="s">
        <v>1503</v>
      </c>
      <c r="G528" s="772" t="s">
        <v>201</v>
      </c>
      <c r="H528" s="757" t="s">
        <v>194</v>
      </c>
      <c r="I528" s="775" t="s">
        <v>194</v>
      </c>
      <c r="J528" s="658" t="str">
        <f>VLOOKUP($I528,Prices!A:B,2,0)</f>
        <v>.</v>
      </c>
      <c r="K528" s="790" t="s">
        <v>194</v>
      </c>
      <c r="L528" s="788" t="s">
        <v>194</v>
      </c>
      <c r="M528" s="788" t="s">
        <v>194</v>
      </c>
      <c r="N528" s="647" t="str">
        <f>VLOOKUP($I528,Prices!A:D,4,0)</f>
        <v>.</v>
      </c>
      <c r="O528" s="769" t="s">
        <v>194</v>
      </c>
      <c r="P528" s="793" t="s">
        <v>194</v>
      </c>
      <c r="Q528" s="772" t="s">
        <v>194</v>
      </c>
      <c r="R528" s="772" t="s">
        <v>194</v>
      </c>
      <c r="S528" s="749" t="s">
        <v>194</v>
      </c>
      <c r="T528" s="757" t="s">
        <v>298</v>
      </c>
      <c r="U528" s="756" t="s">
        <v>1504</v>
      </c>
      <c r="V528" s="764" t="s">
        <v>1505</v>
      </c>
      <c r="W528" s="773" t="s">
        <v>194</v>
      </c>
      <c r="X528" s="784" t="s">
        <v>194</v>
      </c>
      <c r="Y528" s="759">
        <v>0</v>
      </c>
      <c r="Z528" s="761">
        <v>0</v>
      </c>
      <c r="AA528" s="799" t="s">
        <v>194</v>
      </c>
      <c r="AB528" s="775"/>
      <c r="AC528" s="775"/>
      <c r="AD528" s="775"/>
      <c r="AE528" s="775"/>
      <c r="AF528" s="775"/>
      <c r="AG528" s="775"/>
      <c r="AH528" s="775"/>
      <c r="AI528" s="775"/>
      <c r="AJ528" s="775"/>
      <c r="AK528" s="775"/>
      <c r="AL528" s="775"/>
      <c r="AM528" s="775"/>
      <c r="AN528" s="775"/>
      <c r="AO528" s="775"/>
      <c r="AP528" s="775"/>
    </row>
    <row r="529" spans="1:42" s="141" customFormat="1" ht="96.75" customHeight="1">
      <c r="A529" s="775" t="s">
        <v>1506</v>
      </c>
      <c r="B529" s="775" t="s">
        <v>1507</v>
      </c>
      <c r="C529" s="780">
        <v>44660</v>
      </c>
      <c r="D529" s="775" t="s">
        <v>190</v>
      </c>
      <c r="E529" s="775" t="s">
        <v>191</v>
      </c>
      <c r="F529" s="773" t="s">
        <v>1508</v>
      </c>
      <c r="G529" s="778">
        <v>5000000</v>
      </c>
      <c r="H529" s="757" t="s">
        <v>278</v>
      </c>
      <c r="I529" s="775" t="s">
        <v>194</v>
      </c>
      <c r="J529" s="658" t="str">
        <f>VLOOKUP($I529,Prices!A:B,2,0)</f>
        <v>.</v>
      </c>
      <c r="K529" s="790" t="s">
        <v>194</v>
      </c>
      <c r="L529" s="788" t="s">
        <v>194</v>
      </c>
      <c r="M529" s="788" t="s">
        <v>194</v>
      </c>
      <c r="N529" s="708" t="str">
        <f>VLOOKUP($I529,Prices!A:D,4,0)</f>
        <v>.</v>
      </c>
      <c r="O529" s="769" t="s">
        <v>194</v>
      </c>
      <c r="P529" s="793" t="s">
        <v>194</v>
      </c>
      <c r="Q529" s="772">
        <f>G529</f>
        <v>5000000</v>
      </c>
      <c r="R529" s="772">
        <f>Q529/VLOOKUP(H529, 'Currency Conversion'!B:C, 2, 0)</f>
        <v>5000000</v>
      </c>
      <c r="S529" s="749" t="s">
        <v>194</v>
      </c>
      <c r="T529" s="757" t="s">
        <v>195</v>
      </c>
      <c r="U529" s="756" t="s">
        <v>1509</v>
      </c>
      <c r="V529" s="773" t="s">
        <v>194</v>
      </c>
      <c r="W529" s="773" t="s">
        <v>194</v>
      </c>
      <c r="X529" s="784" t="s">
        <v>194</v>
      </c>
      <c r="Y529" s="759">
        <v>0</v>
      </c>
      <c r="Z529" s="761">
        <v>0</v>
      </c>
      <c r="AA529" s="799" t="s">
        <v>194</v>
      </c>
      <c r="AB529" s="775"/>
      <c r="AC529" s="775"/>
      <c r="AD529" s="775"/>
      <c r="AE529" s="775"/>
      <c r="AF529" s="775"/>
      <c r="AG529" s="775"/>
      <c r="AH529" s="775"/>
      <c r="AI529" s="775"/>
      <c r="AJ529" s="775"/>
      <c r="AK529" s="775"/>
      <c r="AL529" s="775"/>
      <c r="AM529" s="775"/>
      <c r="AN529" s="775"/>
      <c r="AO529" s="775"/>
      <c r="AP529" s="775"/>
    </row>
    <row r="530" spans="1:42" s="141" customFormat="1" ht="42.95" customHeight="1">
      <c r="A530" s="775" t="s">
        <v>1510</v>
      </c>
      <c r="B530" s="775" t="s">
        <v>1507</v>
      </c>
      <c r="C530" s="780">
        <v>44613</v>
      </c>
      <c r="D530" s="775" t="s">
        <v>212</v>
      </c>
      <c r="E530" s="775" t="s">
        <v>221</v>
      </c>
      <c r="F530" s="773" t="s">
        <v>1511</v>
      </c>
      <c r="G530" s="778">
        <v>1700000</v>
      </c>
      <c r="H530" s="757" t="s">
        <v>278</v>
      </c>
      <c r="I530" s="775" t="s">
        <v>911</v>
      </c>
      <c r="J530" s="658">
        <f>VLOOKUP($I530,Prices!A:B,2,0)</f>
        <v>1</v>
      </c>
      <c r="K530" s="790">
        <f>VLOOKUP(I530,Prices!A:C,3,0)</f>
        <v>0</v>
      </c>
      <c r="L530" s="788">
        <v>5</v>
      </c>
      <c r="M530" s="788"/>
      <c r="N530" s="647">
        <f>VLOOKUP($I530,Prices!A:D,4,0)</f>
        <v>365200</v>
      </c>
      <c r="O530" s="769">
        <f t="shared" si="35"/>
        <v>1826000</v>
      </c>
      <c r="P530" s="793" t="s">
        <v>194</v>
      </c>
      <c r="Q530" s="772">
        <f>G530</f>
        <v>1700000</v>
      </c>
      <c r="R530" s="772">
        <f>Q530/VLOOKUP(H530, 'Currency Conversion'!B:C, 2, 0)</f>
        <v>1700000</v>
      </c>
      <c r="S530" s="749" t="s">
        <v>194</v>
      </c>
      <c r="T530" s="757" t="s">
        <v>240</v>
      </c>
      <c r="U530" s="756" t="s">
        <v>1512</v>
      </c>
      <c r="V530" s="756" t="s">
        <v>1513</v>
      </c>
      <c r="W530" s="773" t="s">
        <v>194</v>
      </c>
      <c r="X530" s="784" t="s">
        <v>194</v>
      </c>
      <c r="Y530" s="759">
        <v>0</v>
      </c>
      <c r="Z530" s="761">
        <v>0</v>
      </c>
      <c r="AA530" s="799" t="s">
        <v>194</v>
      </c>
      <c r="AB530" s="775"/>
      <c r="AC530" s="775"/>
      <c r="AD530" s="775"/>
      <c r="AE530" s="775"/>
      <c r="AF530" s="775"/>
      <c r="AG530" s="775"/>
      <c r="AH530" s="775"/>
      <c r="AI530" s="775"/>
      <c r="AJ530" s="775"/>
      <c r="AK530" s="775"/>
      <c r="AL530" s="775"/>
      <c r="AM530" s="775"/>
      <c r="AN530" s="775"/>
      <c r="AO530" s="775"/>
      <c r="AP530" s="775"/>
    </row>
    <row r="531" spans="1:42" s="687" customFormat="1" ht="24.75" customHeight="1">
      <c r="A531" s="868" t="s">
        <v>1514</v>
      </c>
      <c r="B531" s="868" t="s">
        <v>1507</v>
      </c>
      <c r="C531" s="867">
        <v>44619</v>
      </c>
      <c r="D531" s="868" t="s">
        <v>212</v>
      </c>
      <c r="E531" s="868" t="s">
        <v>213</v>
      </c>
      <c r="F531" s="890" t="s">
        <v>1515</v>
      </c>
      <c r="G531" s="869">
        <v>4500000</v>
      </c>
      <c r="H531" s="870" t="s">
        <v>278</v>
      </c>
      <c r="I531" s="775" t="s">
        <v>1516</v>
      </c>
      <c r="J531" s="658">
        <f>VLOOKUP($I531,Prices!A:B,2,0)</f>
        <v>3</v>
      </c>
      <c r="K531" s="790">
        <f>VLOOKUP(I531,Prices!A:C,3,0)</f>
        <v>0</v>
      </c>
      <c r="L531" s="788">
        <v>486</v>
      </c>
      <c r="M531" s="788">
        <v>486</v>
      </c>
      <c r="N531" s="708">
        <f>VLOOKUP($I531,Prices!A:D,4,0)</f>
        <v>102000</v>
      </c>
      <c r="O531" s="769">
        <f t="shared" si="35"/>
        <v>49572000</v>
      </c>
      <c r="P531" s="793">
        <f t="shared" ref="P531:P581" si="36">$M531*$N531</f>
        <v>49572000</v>
      </c>
      <c r="Q531" s="869">
        <f>G531</f>
        <v>4500000</v>
      </c>
      <c r="R531" s="869">
        <f>Q531/VLOOKUP(H531, 'Currency Conversion'!B:C, 2, 0)</f>
        <v>4500000</v>
      </c>
      <c r="S531" s="886">
        <f>R531</f>
        <v>4500000</v>
      </c>
      <c r="T531" s="870" t="s">
        <v>240</v>
      </c>
      <c r="U531" s="854" t="s">
        <v>1517</v>
      </c>
      <c r="V531" s="854" t="s">
        <v>1518</v>
      </c>
      <c r="W531" s="854" t="s">
        <v>1519</v>
      </c>
      <c r="X531" s="880" t="s">
        <v>194</v>
      </c>
      <c r="Y531" s="878">
        <v>0</v>
      </c>
      <c r="Z531" s="888">
        <v>0</v>
      </c>
      <c r="AA531" s="762" t="s">
        <v>1520</v>
      </c>
    </row>
    <row r="532" spans="1:42" s="687" customFormat="1" ht="15.75" customHeight="1">
      <c r="A532" s="868"/>
      <c r="B532" s="868"/>
      <c r="C532" s="867"/>
      <c r="D532" s="868"/>
      <c r="E532" s="868"/>
      <c r="F532" s="890"/>
      <c r="G532" s="869"/>
      <c r="H532" s="870"/>
      <c r="I532" s="775" t="s">
        <v>1521</v>
      </c>
      <c r="J532" s="658">
        <f>VLOOKUP($I532,Prices!A:B,2,0)</f>
        <v>3</v>
      </c>
      <c r="K532" s="790">
        <f>VLOOKUP(I532,Prices!A:C,3,0)</f>
        <v>0</v>
      </c>
      <c r="L532" s="788">
        <v>100</v>
      </c>
      <c r="M532" s="788">
        <v>100</v>
      </c>
      <c r="N532" s="647">
        <f>VLOOKUP($I532,Prices!A:D,4,0)</f>
        <v>119000</v>
      </c>
      <c r="O532" s="769">
        <f t="shared" si="35"/>
        <v>11900000</v>
      </c>
      <c r="P532" s="793">
        <f t="shared" si="36"/>
        <v>11900000</v>
      </c>
      <c r="Q532" s="869"/>
      <c r="R532" s="869"/>
      <c r="S532" s="886"/>
      <c r="T532" s="870"/>
      <c r="U532" s="854"/>
      <c r="V532" s="854"/>
      <c r="W532" s="854"/>
      <c r="X532" s="880"/>
      <c r="Y532" s="878"/>
      <c r="Z532" s="888"/>
      <c r="AA532" s="762" t="s">
        <v>1520</v>
      </c>
    </row>
    <row r="533" spans="1:42" s="141" customFormat="1" ht="42.95" customHeight="1">
      <c r="A533" s="775" t="s">
        <v>1522</v>
      </c>
      <c r="B533" s="775" t="s">
        <v>1507</v>
      </c>
      <c r="C533" s="780">
        <v>44623</v>
      </c>
      <c r="D533" s="775" t="s">
        <v>212</v>
      </c>
      <c r="E533" s="775" t="s">
        <v>213</v>
      </c>
      <c r="F533" s="773" t="s">
        <v>1523</v>
      </c>
      <c r="G533" s="772">
        <v>32200000</v>
      </c>
      <c r="H533" s="757" t="s">
        <v>278</v>
      </c>
      <c r="I533" s="775" t="s">
        <v>194</v>
      </c>
      <c r="J533" s="658" t="str">
        <f>VLOOKUP($I533,Prices!A:B,2,0)</f>
        <v>.</v>
      </c>
      <c r="K533" s="790" t="s">
        <v>194</v>
      </c>
      <c r="L533" s="788" t="s">
        <v>194</v>
      </c>
      <c r="M533" s="788"/>
      <c r="N533" s="708" t="str">
        <f>VLOOKUP($I533,Prices!A:D,4,0)</f>
        <v>.</v>
      </c>
      <c r="O533" s="769" t="s">
        <v>194</v>
      </c>
      <c r="P533" s="793" t="s">
        <v>194</v>
      </c>
      <c r="Q533" s="772">
        <f>G533</f>
        <v>32200000</v>
      </c>
      <c r="R533" s="772">
        <f>Q533/VLOOKUP(H533, 'Currency Conversion'!B:C, 2, 0)</f>
        <v>32200000</v>
      </c>
      <c r="S533" s="749" t="s">
        <v>194</v>
      </c>
      <c r="T533" s="757" t="s">
        <v>240</v>
      </c>
      <c r="U533" s="756" t="s">
        <v>1524</v>
      </c>
      <c r="V533" s="756" t="s">
        <v>1525</v>
      </c>
      <c r="W533" s="773" t="s">
        <v>194</v>
      </c>
      <c r="X533" s="784" t="s">
        <v>194</v>
      </c>
      <c r="Y533" s="759">
        <v>0</v>
      </c>
      <c r="Z533" s="761">
        <v>0</v>
      </c>
      <c r="AA533" s="799" t="s">
        <v>194</v>
      </c>
      <c r="AB533" s="775"/>
      <c r="AC533" s="775"/>
      <c r="AD533" s="775"/>
      <c r="AE533" s="775"/>
      <c r="AF533" s="775"/>
      <c r="AG533" s="775"/>
      <c r="AH533" s="775"/>
      <c r="AI533" s="775"/>
      <c r="AJ533" s="775"/>
      <c r="AK533" s="775"/>
      <c r="AL533" s="775"/>
      <c r="AM533" s="775"/>
      <c r="AN533" s="775"/>
      <c r="AO533" s="775"/>
      <c r="AP533" s="775"/>
    </row>
    <row r="534" spans="1:42" s="141" customFormat="1" ht="45" customHeight="1">
      <c r="A534" s="775" t="s">
        <v>1526</v>
      </c>
      <c r="B534" s="775" t="s">
        <v>1507</v>
      </c>
      <c r="C534" s="780">
        <v>44618</v>
      </c>
      <c r="D534" s="775" t="s">
        <v>212</v>
      </c>
      <c r="E534" s="775" t="s">
        <v>221</v>
      </c>
      <c r="F534" s="773" t="s">
        <v>1527</v>
      </c>
      <c r="G534" s="772">
        <v>11000000</v>
      </c>
      <c r="H534" s="757" t="s">
        <v>278</v>
      </c>
      <c r="I534" s="775" t="s">
        <v>194</v>
      </c>
      <c r="J534" s="658" t="str">
        <f>VLOOKUP($I534,Prices!A:B,2,0)</f>
        <v>.</v>
      </c>
      <c r="K534" s="790" t="s">
        <v>194</v>
      </c>
      <c r="L534" s="788" t="s">
        <v>194</v>
      </c>
      <c r="M534" s="788"/>
      <c r="N534" s="647" t="str">
        <f>VLOOKUP($I534,Prices!A:D,4,0)</f>
        <v>.</v>
      </c>
      <c r="O534" s="769" t="s">
        <v>194</v>
      </c>
      <c r="P534" s="793" t="s">
        <v>194</v>
      </c>
      <c r="Q534" s="772">
        <f>G534</f>
        <v>11000000</v>
      </c>
      <c r="R534" s="772">
        <f>Q534/VLOOKUP(H534, 'Currency Conversion'!B:C, 2, 0)</f>
        <v>11000000</v>
      </c>
      <c r="S534" s="749" t="s">
        <v>194</v>
      </c>
      <c r="T534" s="757" t="s">
        <v>240</v>
      </c>
      <c r="U534" s="756" t="s">
        <v>1528</v>
      </c>
      <c r="V534" s="773" t="s">
        <v>194</v>
      </c>
      <c r="W534" s="773" t="s">
        <v>194</v>
      </c>
      <c r="X534" s="784" t="s">
        <v>194</v>
      </c>
      <c r="Y534" s="759">
        <v>0</v>
      </c>
      <c r="Z534" s="761">
        <v>0</v>
      </c>
      <c r="AA534" s="799" t="s">
        <v>194</v>
      </c>
      <c r="AB534" s="775"/>
      <c r="AC534" s="775"/>
      <c r="AD534" s="775"/>
      <c r="AE534" s="775"/>
      <c r="AF534" s="775"/>
      <c r="AG534" s="775"/>
      <c r="AH534" s="775"/>
      <c r="AI534" s="775"/>
      <c r="AJ534" s="775"/>
      <c r="AK534" s="775"/>
      <c r="AL534" s="775"/>
      <c r="AM534" s="775"/>
      <c r="AN534" s="775"/>
      <c r="AO534" s="775"/>
      <c r="AP534" s="775"/>
    </row>
    <row r="535" spans="1:42" s="141" customFormat="1" ht="120.75" customHeight="1">
      <c r="A535" s="750" t="s">
        <v>1529</v>
      </c>
      <c r="B535" s="750" t="s">
        <v>1507</v>
      </c>
      <c r="C535" s="751">
        <v>44652</v>
      </c>
      <c r="D535" s="750" t="s">
        <v>212</v>
      </c>
      <c r="E535" s="750" t="s">
        <v>191</v>
      </c>
      <c r="F535" s="789" t="s">
        <v>564</v>
      </c>
      <c r="G535" s="753" t="s">
        <v>201</v>
      </c>
      <c r="H535" s="754" t="s">
        <v>194</v>
      </c>
      <c r="I535" s="750" t="s">
        <v>194</v>
      </c>
      <c r="J535" s="658" t="str">
        <f>VLOOKUP($I535,Prices!A:B,2,0)</f>
        <v>.</v>
      </c>
      <c r="K535" s="790" t="s">
        <v>194</v>
      </c>
      <c r="L535" s="644" t="s">
        <v>21</v>
      </c>
      <c r="M535" s="644" t="s">
        <v>194</v>
      </c>
      <c r="N535" s="644" t="s">
        <v>194</v>
      </c>
      <c r="O535" s="769" t="s">
        <v>194</v>
      </c>
      <c r="P535" s="793" t="s">
        <v>194</v>
      </c>
      <c r="Q535" s="753" t="s">
        <v>194</v>
      </c>
      <c r="R535" s="753" t="s">
        <v>194</v>
      </c>
      <c r="S535" s="755" t="s">
        <v>194</v>
      </c>
      <c r="T535" s="754" t="s">
        <v>298</v>
      </c>
      <c r="U535" s="756" t="s">
        <v>1530</v>
      </c>
      <c r="V535" s="797" t="s">
        <v>194</v>
      </c>
      <c r="W535" s="752" t="s">
        <v>194</v>
      </c>
      <c r="X535" s="814" t="s">
        <v>194</v>
      </c>
      <c r="Y535" s="754">
        <v>0</v>
      </c>
      <c r="Z535" s="754">
        <v>1</v>
      </c>
      <c r="AA535" s="754" t="s">
        <v>194</v>
      </c>
      <c r="AB535" s="614" t="s">
        <v>21</v>
      </c>
      <c r="AC535" s="614" t="s">
        <v>21</v>
      </c>
      <c r="AD535" s="614" t="s">
        <v>21</v>
      </c>
      <c r="AE535" s="614" t="s">
        <v>21</v>
      </c>
      <c r="AF535" s="614" t="s">
        <v>21</v>
      </c>
      <c r="AG535" s="614" t="s">
        <v>21</v>
      </c>
      <c r="AH535" s="614" t="s">
        <v>21</v>
      </c>
      <c r="AI535" s="614" t="s">
        <v>21</v>
      </c>
      <c r="AJ535" s="614" t="s">
        <v>21</v>
      </c>
      <c r="AK535" s="614" t="s">
        <v>21</v>
      </c>
      <c r="AL535" s="614" t="s">
        <v>21</v>
      </c>
      <c r="AM535" s="614" t="s">
        <v>21</v>
      </c>
      <c r="AN535" s="614" t="s">
        <v>21</v>
      </c>
      <c r="AO535" s="614" t="s">
        <v>21</v>
      </c>
      <c r="AP535" s="775"/>
    </row>
    <row r="536" spans="1:42" s="141" customFormat="1" ht="120.75" customHeight="1">
      <c r="A536" s="775" t="s">
        <v>1531</v>
      </c>
      <c r="B536" s="775" t="s">
        <v>1507</v>
      </c>
      <c r="C536" s="780">
        <v>44659</v>
      </c>
      <c r="D536" s="775" t="s">
        <v>212</v>
      </c>
      <c r="E536" s="775" t="s">
        <v>320</v>
      </c>
      <c r="F536" s="773" t="s">
        <v>1532</v>
      </c>
      <c r="G536" s="772">
        <v>68000000</v>
      </c>
      <c r="H536" s="757" t="s">
        <v>260</v>
      </c>
      <c r="I536" s="775" t="s">
        <v>1533</v>
      </c>
      <c r="J536" s="658">
        <f>VLOOKUP($I536,Prices!A:B,2,0)</f>
        <v>4</v>
      </c>
      <c r="K536" s="790">
        <f>VLOOKUP(I536,Prices!A:C,3,0)</f>
        <v>1</v>
      </c>
      <c r="L536" s="788">
        <v>1</v>
      </c>
      <c r="M536" s="788">
        <v>1</v>
      </c>
      <c r="N536" s="707">
        <f>VLOOKUP($I536,Prices!A:D,4,0)</f>
        <v>68000000</v>
      </c>
      <c r="O536" s="769">
        <f t="shared" si="35"/>
        <v>68000000</v>
      </c>
      <c r="P536" s="793">
        <f t="shared" si="36"/>
        <v>68000000</v>
      </c>
      <c r="Q536" s="772">
        <f>G536</f>
        <v>68000000</v>
      </c>
      <c r="R536" s="772">
        <f>Q536/VLOOKUP(H536, 'Currency Conversion'!B:C, 2, 0)</f>
        <v>64393939.393939391</v>
      </c>
      <c r="S536" s="749">
        <f>R536</f>
        <v>64393939.393939391</v>
      </c>
      <c r="T536" s="757" t="s">
        <v>195</v>
      </c>
      <c r="U536" s="756" t="s">
        <v>1534</v>
      </c>
      <c r="V536" s="756" t="s">
        <v>1535</v>
      </c>
      <c r="W536" s="756" t="s">
        <v>1536</v>
      </c>
      <c r="X536" s="784" t="s">
        <v>194</v>
      </c>
      <c r="Y536" s="759">
        <v>0</v>
      </c>
      <c r="Z536" s="761">
        <v>0</v>
      </c>
      <c r="AA536" s="762" t="s">
        <v>1537</v>
      </c>
      <c r="AB536" s="775"/>
      <c r="AC536" s="775"/>
      <c r="AD536" s="775"/>
      <c r="AE536" s="775"/>
      <c r="AF536" s="775"/>
      <c r="AG536" s="775"/>
      <c r="AH536" s="775"/>
      <c r="AI536" s="775"/>
      <c r="AJ536" s="775"/>
      <c r="AK536" s="775"/>
      <c r="AL536" s="775"/>
      <c r="AM536" s="775"/>
      <c r="AN536" s="775"/>
      <c r="AO536" s="775"/>
      <c r="AP536" s="775"/>
    </row>
    <row r="537" spans="1:42" s="141" customFormat="1" ht="28.5" customHeight="1">
      <c r="A537" s="848" t="s">
        <v>1538</v>
      </c>
      <c r="B537" s="848" t="s">
        <v>1507</v>
      </c>
      <c r="C537" s="849">
        <v>44728</v>
      </c>
      <c r="D537" s="848" t="s">
        <v>212</v>
      </c>
      <c r="E537" s="848" t="s">
        <v>320</v>
      </c>
      <c r="F537" s="859" t="s">
        <v>1539</v>
      </c>
      <c r="G537" s="851" t="s">
        <v>201</v>
      </c>
      <c r="H537" s="852" t="s">
        <v>260</v>
      </c>
      <c r="I537" s="547" t="s">
        <v>1540</v>
      </c>
      <c r="J537" s="658">
        <f>VLOOKUP($I537,Prices!A:B,2,0)</f>
        <v>5</v>
      </c>
      <c r="K537" s="790">
        <f>VLOOKUP(I537,Prices!A:C,3,0)</f>
        <v>1</v>
      </c>
      <c r="L537" s="644">
        <v>5</v>
      </c>
      <c r="M537" s="640" t="s">
        <v>194</v>
      </c>
      <c r="N537" s="707">
        <f>VLOOKUP($I537,Prices!A:D,4,0)</f>
        <v>10130000</v>
      </c>
      <c r="O537" s="769">
        <f t="shared" si="35"/>
        <v>50650000</v>
      </c>
      <c r="P537" s="793" t="s">
        <v>194</v>
      </c>
      <c r="Q537" s="851">
        <f>SUM(O537:O538)</f>
        <v>52650000</v>
      </c>
      <c r="R537" s="851">
        <f>Q537/VLOOKUP(H537,'Currency Conversion'!B2:C19,2,0)</f>
        <v>49857954.545454547</v>
      </c>
      <c r="S537" s="853">
        <f>R537</f>
        <v>49857954.545454547</v>
      </c>
      <c r="T537" s="852" t="s">
        <v>298</v>
      </c>
      <c r="U537" s="854" t="s">
        <v>1541</v>
      </c>
      <c r="V537" s="854" t="s">
        <v>1542</v>
      </c>
      <c r="W537" s="854" t="s">
        <v>1542</v>
      </c>
      <c r="X537" s="901" t="s">
        <v>194</v>
      </c>
      <c r="Y537" s="852">
        <v>0</v>
      </c>
      <c r="Z537" s="852">
        <v>1</v>
      </c>
      <c r="AA537" s="912" t="s">
        <v>1543</v>
      </c>
      <c r="AB537" s="820" t="s">
        <v>21</v>
      </c>
      <c r="AC537" s="820" t="s">
        <v>21</v>
      </c>
      <c r="AD537" s="820" t="s">
        <v>21</v>
      </c>
      <c r="AE537" s="820" t="s">
        <v>21</v>
      </c>
      <c r="AF537" s="820" t="s">
        <v>21</v>
      </c>
      <c r="AG537" s="820" t="s">
        <v>21</v>
      </c>
      <c r="AH537" s="820" t="s">
        <v>21</v>
      </c>
      <c r="AI537" s="820" t="s">
        <v>21</v>
      </c>
      <c r="AJ537" s="820" t="s">
        <v>21</v>
      </c>
      <c r="AK537" s="820" t="s">
        <v>21</v>
      </c>
      <c r="AL537" s="820" t="s">
        <v>21</v>
      </c>
      <c r="AM537" s="820" t="s">
        <v>21</v>
      </c>
      <c r="AN537" s="820" t="s">
        <v>21</v>
      </c>
      <c r="AO537" s="820" t="s">
        <v>21</v>
      </c>
      <c r="AP537" s="775"/>
    </row>
    <row r="538" spans="1:42" s="141" customFormat="1" ht="22.5" customHeight="1">
      <c r="A538" s="848"/>
      <c r="B538" s="848"/>
      <c r="C538" s="848"/>
      <c r="D538" s="848"/>
      <c r="E538" s="848"/>
      <c r="F538" s="859"/>
      <c r="G538" s="851"/>
      <c r="H538" s="852"/>
      <c r="I538" s="547" t="s">
        <v>1544</v>
      </c>
      <c r="J538" s="658">
        <f>VLOOKUP($I538,Prices!A:B,2,0)</f>
        <v>3</v>
      </c>
      <c r="K538" s="790">
        <f>VLOOKUP(I538,Prices!A:C,3,0)</f>
        <v>0</v>
      </c>
      <c r="L538" s="644">
        <v>2000</v>
      </c>
      <c r="M538" s="640" t="s">
        <v>194</v>
      </c>
      <c r="N538" s="707">
        <f>VLOOKUP($I538,Prices!A:D,4,0)</f>
        <v>1000</v>
      </c>
      <c r="O538" s="769">
        <f t="shared" si="35"/>
        <v>2000000</v>
      </c>
      <c r="P538" s="793" t="s">
        <v>194</v>
      </c>
      <c r="Q538" s="851"/>
      <c r="R538" s="851"/>
      <c r="S538" s="853"/>
      <c r="T538" s="852"/>
      <c r="U538" s="854"/>
      <c r="V538" s="854"/>
      <c r="W538" s="854"/>
      <c r="X538" s="901"/>
      <c r="Y538" s="852"/>
      <c r="Z538" s="852"/>
      <c r="AA538" s="912"/>
      <c r="AB538" s="820" t="s">
        <v>21</v>
      </c>
      <c r="AC538" s="820" t="s">
        <v>21</v>
      </c>
      <c r="AD538" s="820" t="s">
        <v>21</v>
      </c>
      <c r="AE538" s="820" t="s">
        <v>21</v>
      </c>
      <c r="AF538" s="820" t="s">
        <v>21</v>
      </c>
      <c r="AG538" s="820" t="s">
        <v>21</v>
      </c>
      <c r="AH538" s="820" t="s">
        <v>21</v>
      </c>
      <c r="AI538" s="820" t="s">
        <v>21</v>
      </c>
      <c r="AJ538" s="820" t="s">
        <v>21</v>
      </c>
      <c r="AK538" s="820" t="s">
        <v>21</v>
      </c>
      <c r="AL538" s="820" t="s">
        <v>21</v>
      </c>
      <c r="AM538" s="820" t="s">
        <v>21</v>
      </c>
      <c r="AN538" s="820" t="s">
        <v>21</v>
      </c>
      <c r="AO538" s="820" t="s">
        <v>21</v>
      </c>
      <c r="AP538" s="775"/>
    </row>
    <row r="539" spans="1:42" s="141" customFormat="1" ht="17.100000000000001" customHeight="1">
      <c r="A539" s="868" t="s">
        <v>1545</v>
      </c>
      <c r="B539" s="873" t="s">
        <v>1546</v>
      </c>
      <c r="C539" s="874">
        <v>44618</v>
      </c>
      <c r="D539" s="873" t="s">
        <v>190</v>
      </c>
      <c r="E539" s="873" t="s">
        <v>1547</v>
      </c>
      <c r="F539" s="890" t="s">
        <v>1548</v>
      </c>
      <c r="G539" s="887">
        <v>163000</v>
      </c>
      <c r="H539" s="878" t="s">
        <v>278</v>
      </c>
      <c r="I539" s="775" t="s">
        <v>1549</v>
      </c>
      <c r="J539" s="658">
        <f>VLOOKUP($I539,Prices!A:B,2,0)</f>
        <v>1</v>
      </c>
      <c r="K539" s="790">
        <f>VLOOKUP(I539,Prices!A:C,3,0)</f>
        <v>0</v>
      </c>
      <c r="L539" s="788">
        <v>10</v>
      </c>
      <c r="M539" s="725" t="s">
        <v>194</v>
      </c>
      <c r="N539" s="707" t="str">
        <f>VLOOKUP($I539,Prices!A:D,4,0)</f>
        <v>.</v>
      </c>
      <c r="O539" s="769" t="s">
        <v>194</v>
      </c>
      <c r="P539" s="793" t="s">
        <v>194</v>
      </c>
      <c r="Q539" s="887">
        <f>G539</f>
        <v>163000</v>
      </c>
      <c r="R539" s="869">
        <f>Q539/VLOOKUP(H539, 'Currency Conversion'!B:C, 2, 0)</f>
        <v>163000</v>
      </c>
      <c r="S539" s="886" t="s">
        <v>194</v>
      </c>
      <c r="T539" s="878" t="s">
        <v>195</v>
      </c>
      <c r="U539" s="854" t="s">
        <v>1550</v>
      </c>
      <c r="V539" s="854" t="s">
        <v>1551</v>
      </c>
      <c r="W539" s="854" t="s">
        <v>1552</v>
      </c>
      <c r="X539" s="880" t="s">
        <v>194</v>
      </c>
      <c r="Y539" s="878">
        <v>0</v>
      </c>
      <c r="Z539" s="888">
        <v>0</v>
      </c>
      <c r="AA539" s="894" t="s">
        <v>194</v>
      </c>
      <c r="AB539" s="775"/>
      <c r="AC539" s="775"/>
      <c r="AD539" s="775"/>
      <c r="AE539" s="775"/>
      <c r="AF539" s="775"/>
      <c r="AG539" s="775"/>
      <c r="AH539" s="775"/>
      <c r="AI539" s="775"/>
      <c r="AJ539" s="775"/>
      <c r="AK539" s="775"/>
      <c r="AL539" s="775"/>
      <c r="AM539" s="775"/>
      <c r="AN539" s="775"/>
      <c r="AO539" s="775"/>
      <c r="AP539" s="775"/>
    </row>
    <row r="540" spans="1:42" s="141" customFormat="1" ht="15.95" customHeight="1">
      <c r="A540" s="868"/>
      <c r="B540" s="873"/>
      <c r="C540" s="874"/>
      <c r="D540" s="873"/>
      <c r="E540" s="873"/>
      <c r="F540" s="890"/>
      <c r="G540" s="887"/>
      <c r="H540" s="878"/>
      <c r="I540" s="766" t="s">
        <v>268</v>
      </c>
      <c r="J540" s="658">
        <f>VLOOKUP($I540,Prices!A:B,2,0)</f>
        <v>0</v>
      </c>
      <c r="K540" s="790">
        <f>VLOOKUP(I540,Prices!A:C,3,0)</f>
        <v>0</v>
      </c>
      <c r="L540" s="665">
        <v>200</v>
      </c>
      <c r="M540" s="725"/>
      <c r="N540" s="707">
        <f>VLOOKUP($I540,Prices!A:D,4,0)</f>
        <v>75</v>
      </c>
      <c r="O540" s="769">
        <f t="shared" si="35"/>
        <v>15000</v>
      </c>
      <c r="P540" s="793" t="s">
        <v>194</v>
      </c>
      <c r="Q540" s="887"/>
      <c r="R540" s="869"/>
      <c r="S540" s="886"/>
      <c r="T540" s="878"/>
      <c r="U540" s="854"/>
      <c r="V540" s="854"/>
      <c r="W540" s="854"/>
      <c r="X540" s="880"/>
      <c r="Y540" s="878"/>
      <c r="Z540" s="888"/>
      <c r="AA540" s="894"/>
      <c r="AB540" s="775"/>
      <c r="AC540" s="775"/>
      <c r="AD540" s="775"/>
      <c r="AE540" s="775"/>
      <c r="AF540" s="775"/>
      <c r="AG540" s="775"/>
      <c r="AH540" s="775"/>
      <c r="AI540" s="775"/>
      <c r="AJ540" s="775"/>
      <c r="AK540" s="775"/>
      <c r="AL540" s="775"/>
      <c r="AM540" s="775"/>
      <c r="AN540" s="775"/>
      <c r="AO540" s="775"/>
      <c r="AP540" s="775"/>
    </row>
    <row r="541" spans="1:42" s="141" customFormat="1" ht="16.5" customHeight="1">
      <c r="A541" s="868"/>
      <c r="B541" s="873"/>
      <c r="C541" s="874"/>
      <c r="D541" s="873"/>
      <c r="E541" s="873"/>
      <c r="F541" s="890"/>
      <c r="G541" s="887"/>
      <c r="H541" s="878"/>
      <c r="I541" s="766" t="s">
        <v>1553</v>
      </c>
      <c r="J541" s="658">
        <f>VLOOKUP($I541,Prices!A:B,2,0)</f>
        <v>0</v>
      </c>
      <c r="K541" s="790">
        <f>VLOOKUP(I541,Prices!A:C,3,0)</f>
        <v>0</v>
      </c>
      <c r="L541" s="665">
        <v>200</v>
      </c>
      <c r="M541" s="725"/>
      <c r="N541" s="707">
        <f>VLOOKUP($I541,Prices!A:D,4,0)</f>
        <v>50</v>
      </c>
      <c r="O541" s="769">
        <f t="shared" si="35"/>
        <v>10000</v>
      </c>
      <c r="P541" s="793" t="s">
        <v>194</v>
      </c>
      <c r="Q541" s="887"/>
      <c r="R541" s="869"/>
      <c r="S541" s="886"/>
      <c r="T541" s="878"/>
      <c r="U541" s="854"/>
      <c r="V541" s="854"/>
      <c r="W541" s="854"/>
      <c r="X541" s="880"/>
      <c r="Y541" s="878"/>
      <c r="Z541" s="888"/>
      <c r="AA541" s="894"/>
      <c r="AB541" s="775"/>
      <c r="AC541" s="775"/>
      <c r="AD541" s="775"/>
      <c r="AE541" s="775"/>
      <c r="AF541" s="775"/>
      <c r="AG541" s="775"/>
      <c r="AH541" s="775"/>
      <c r="AI541" s="775"/>
      <c r="AJ541" s="775"/>
      <c r="AK541" s="775"/>
      <c r="AL541" s="775"/>
      <c r="AM541" s="775"/>
      <c r="AN541" s="775"/>
      <c r="AO541" s="775"/>
      <c r="AP541" s="775"/>
    </row>
    <row r="542" spans="1:42" s="141" customFormat="1" ht="15.95" customHeight="1">
      <c r="A542" s="868"/>
      <c r="B542" s="873"/>
      <c r="C542" s="874"/>
      <c r="D542" s="873"/>
      <c r="E542" s="873"/>
      <c r="F542" s="890"/>
      <c r="G542" s="887"/>
      <c r="H542" s="878"/>
      <c r="I542" s="766" t="s">
        <v>1554</v>
      </c>
      <c r="J542" s="658">
        <f>VLOOKUP($I542,Prices!A:B,2,0)</f>
        <v>0</v>
      </c>
      <c r="K542" s="790">
        <f>VLOOKUP(I542,Prices!A:C,3,0)</f>
        <v>0</v>
      </c>
      <c r="L542" s="665">
        <v>250000</v>
      </c>
      <c r="M542" s="725"/>
      <c r="N542" s="707">
        <f>VLOOKUP($I542,Prices!A:D,4,0)</f>
        <v>16</v>
      </c>
      <c r="O542" s="769">
        <f t="shared" si="35"/>
        <v>4000000</v>
      </c>
      <c r="P542" s="793" t="s">
        <v>194</v>
      </c>
      <c r="Q542" s="887"/>
      <c r="R542" s="869"/>
      <c r="S542" s="886"/>
      <c r="T542" s="878"/>
      <c r="U542" s="854"/>
      <c r="V542" s="854"/>
      <c r="W542" s="854"/>
      <c r="X542" s="880"/>
      <c r="Y542" s="878"/>
      <c r="Z542" s="888"/>
      <c r="AA542" s="894"/>
      <c r="AB542" s="775"/>
      <c r="AC542" s="775"/>
      <c r="AD542" s="775"/>
      <c r="AE542" s="775"/>
      <c r="AF542" s="775"/>
      <c r="AG542" s="775"/>
      <c r="AH542" s="775"/>
      <c r="AI542" s="775"/>
      <c r="AJ542" s="775"/>
      <c r="AK542" s="775"/>
      <c r="AL542" s="775"/>
      <c r="AM542" s="775"/>
      <c r="AN542" s="775"/>
      <c r="AO542" s="775"/>
      <c r="AP542" s="775"/>
    </row>
    <row r="543" spans="1:42" s="141" customFormat="1" ht="17.100000000000001" customHeight="1">
      <c r="A543" s="868"/>
      <c r="B543" s="873"/>
      <c r="C543" s="874"/>
      <c r="D543" s="873"/>
      <c r="E543" s="873"/>
      <c r="F543" s="890"/>
      <c r="G543" s="887"/>
      <c r="H543" s="878"/>
      <c r="I543" s="766" t="s">
        <v>1555</v>
      </c>
      <c r="J543" s="658">
        <f>VLOOKUP($I543,Prices!A:B,2,0)</f>
        <v>0</v>
      </c>
      <c r="K543" s="790">
        <f>VLOOKUP(I543,Prices!A:C,3,0)</f>
        <v>0</v>
      </c>
      <c r="L543" s="665">
        <v>250000</v>
      </c>
      <c r="M543" s="725"/>
      <c r="N543" s="707">
        <f>VLOOKUP($I543,Prices!A:D,4,0)</f>
        <v>13.49</v>
      </c>
      <c r="O543" s="769">
        <f t="shared" si="35"/>
        <v>3372500</v>
      </c>
      <c r="P543" s="793" t="s">
        <v>194</v>
      </c>
      <c r="Q543" s="887"/>
      <c r="R543" s="869"/>
      <c r="S543" s="886"/>
      <c r="T543" s="878"/>
      <c r="U543" s="854"/>
      <c r="V543" s="854"/>
      <c r="W543" s="854"/>
      <c r="X543" s="880"/>
      <c r="Y543" s="878"/>
      <c r="Z543" s="888"/>
      <c r="AA543" s="894"/>
      <c r="AB543" s="775"/>
      <c r="AC543" s="775"/>
      <c r="AD543" s="775"/>
      <c r="AE543" s="775"/>
      <c r="AF543" s="775"/>
      <c r="AG543" s="775"/>
      <c r="AH543" s="775"/>
      <c r="AI543" s="775"/>
      <c r="AJ543" s="775"/>
      <c r="AK543" s="775"/>
      <c r="AL543" s="775"/>
      <c r="AM543" s="775"/>
      <c r="AN543" s="775"/>
      <c r="AO543" s="775"/>
      <c r="AP543" s="775"/>
    </row>
    <row r="544" spans="1:42" s="141" customFormat="1" ht="51.75" customHeight="1">
      <c r="A544" s="868"/>
      <c r="B544" s="873"/>
      <c r="C544" s="874"/>
      <c r="D544" s="873"/>
      <c r="E544" s="873"/>
      <c r="F544" s="890"/>
      <c r="G544" s="887"/>
      <c r="H544" s="878"/>
      <c r="I544" s="766" t="s">
        <v>1265</v>
      </c>
      <c r="J544" s="658">
        <f>VLOOKUP($I544,Prices!A:B,2,0)</f>
        <v>0</v>
      </c>
      <c r="K544" s="790">
        <f>VLOOKUP(I544,Prices!A:C,3,0)</f>
        <v>0</v>
      </c>
      <c r="L544" s="665">
        <v>600000</v>
      </c>
      <c r="M544" s="725"/>
      <c r="N544" s="707">
        <f>VLOOKUP($I544,Prices!A:D,4,0)</f>
        <v>0.25</v>
      </c>
      <c r="O544" s="769">
        <f t="shared" si="35"/>
        <v>150000</v>
      </c>
      <c r="P544" s="793" t="s">
        <v>194</v>
      </c>
      <c r="Q544" s="887"/>
      <c r="R544" s="869"/>
      <c r="S544" s="886"/>
      <c r="T544" s="878"/>
      <c r="U544" s="854"/>
      <c r="V544" s="854"/>
      <c r="W544" s="854"/>
      <c r="X544" s="880"/>
      <c r="Y544" s="878"/>
      <c r="Z544" s="888"/>
      <c r="AA544" s="894"/>
      <c r="AB544" s="775"/>
      <c r="AC544" s="775"/>
      <c r="AD544" s="775"/>
      <c r="AE544" s="775"/>
      <c r="AF544" s="775"/>
      <c r="AG544" s="775"/>
      <c r="AH544" s="775"/>
      <c r="AI544" s="775"/>
      <c r="AJ544" s="775"/>
      <c r="AK544" s="775"/>
      <c r="AL544" s="775"/>
      <c r="AM544" s="775"/>
      <c r="AN544" s="775"/>
      <c r="AO544" s="775"/>
      <c r="AP544" s="775"/>
    </row>
    <row r="545" spans="1:42" s="141" customFormat="1" ht="66" customHeight="1">
      <c r="A545" s="775" t="s">
        <v>1556</v>
      </c>
      <c r="B545" s="766" t="s">
        <v>1546</v>
      </c>
      <c r="C545" s="776">
        <v>44619</v>
      </c>
      <c r="D545" s="766" t="s">
        <v>190</v>
      </c>
      <c r="E545" s="766" t="s">
        <v>276</v>
      </c>
      <c r="F545" s="773" t="s">
        <v>1557</v>
      </c>
      <c r="G545" s="778">
        <v>100000</v>
      </c>
      <c r="H545" s="759" t="s">
        <v>278</v>
      </c>
      <c r="I545" s="766" t="s">
        <v>194</v>
      </c>
      <c r="J545" s="658" t="str">
        <f>VLOOKUP($I545,Prices!A:B,2,0)</f>
        <v>.</v>
      </c>
      <c r="K545" s="790" t="s">
        <v>194</v>
      </c>
      <c r="L545" s="665" t="s">
        <v>194</v>
      </c>
      <c r="M545" s="788" t="s">
        <v>194</v>
      </c>
      <c r="N545" s="647" t="str">
        <f>VLOOKUP($I545,Prices!A:D,4,0)</f>
        <v>.</v>
      </c>
      <c r="O545" s="769" t="s">
        <v>194</v>
      </c>
      <c r="P545" s="793" t="s">
        <v>194</v>
      </c>
      <c r="Q545" s="778">
        <f>G545</f>
        <v>100000</v>
      </c>
      <c r="R545" s="772">
        <f>Q545/VLOOKUP(H545, 'Currency Conversion'!B:C, 2, 0)</f>
        <v>100000</v>
      </c>
      <c r="S545" s="749" t="s">
        <v>194</v>
      </c>
      <c r="T545" s="759" t="s">
        <v>298</v>
      </c>
      <c r="U545" s="756" t="s">
        <v>1558</v>
      </c>
      <c r="V545" s="773" t="s">
        <v>194</v>
      </c>
      <c r="W545" s="773" t="s">
        <v>194</v>
      </c>
      <c r="X545" s="784" t="s">
        <v>194</v>
      </c>
      <c r="Y545" s="759">
        <v>0</v>
      </c>
      <c r="Z545" s="757">
        <v>0</v>
      </c>
      <c r="AA545" s="799" t="s">
        <v>194</v>
      </c>
      <c r="AB545" s="775"/>
      <c r="AC545" s="775"/>
      <c r="AD545" s="775"/>
      <c r="AE545" s="775"/>
      <c r="AF545" s="775"/>
      <c r="AG545" s="775"/>
      <c r="AH545" s="775"/>
      <c r="AI545" s="775"/>
      <c r="AJ545" s="775"/>
      <c r="AK545" s="775"/>
      <c r="AL545" s="775"/>
      <c r="AM545" s="775"/>
      <c r="AN545" s="775"/>
      <c r="AO545" s="775"/>
      <c r="AP545" s="775"/>
    </row>
    <row r="546" spans="1:42" s="141" customFormat="1" ht="102.75" customHeight="1">
      <c r="A546" s="775" t="s">
        <v>1559</v>
      </c>
      <c r="B546" s="775" t="s">
        <v>1546</v>
      </c>
      <c r="C546" s="780">
        <v>44644</v>
      </c>
      <c r="D546" s="775" t="s">
        <v>190</v>
      </c>
      <c r="E546" s="775" t="s">
        <v>199</v>
      </c>
      <c r="F546" s="773" t="s">
        <v>1560</v>
      </c>
      <c r="G546" s="777" t="s">
        <v>201</v>
      </c>
      <c r="H546" s="757" t="s">
        <v>194</v>
      </c>
      <c r="I546" s="688" t="s">
        <v>194</v>
      </c>
      <c r="J546" s="658" t="str">
        <f>VLOOKUP($I546,Prices!A:B,2,0)</f>
        <v>.</v>
      </c>
      <c r="K546" s="790" t="s">
        <v>194</v>
      </c>
      <c r="L546" s="788" t="s">
        <v>194</v>
      </c>
      <c r="M546" s="788" t="s">
        <v>194</v>
      </c>
      <c r="N546" s="708" t="str">
        <f>VLOOKUP($I546,Prices!A:D,4,0)</f>
        <v>.</v>
      </c>
      <c r="O546" s="769" t="s">
        <v>194</v>
      </c>
      <c r="P546" s="793" t="s">
        <v>194</v>
      </c>
      <c r="Q546" s="772" t="s">
        <v>194</v>
      </c>
      <c r="R546" s="772" t="s">
        <v>194</v>
      </c>
      <c r="S546" s="749" t="s">
        <v>194</v>
      </c>
      <c r="T546" s="757" t="s">
        <v>298</v>
      </c>
      <c r="U546" s="756" t="s">
        <v>1561</v>
      </c>
      <c r="V546" s="756" t="s">
        <v>1562</v>
      </c>
      <c r="W546" s="773" t="s">
        <v>194</v>
      </c>
      <c r="X546" s="784" t="s">
        <v>194</v>
      </c>
      <c r="Y546" s="759">
        <v>0</v>
      </c>
      <c r="Z546" s="761">
        <v>0</v>
      </c>
      <c r="AA546" s="799" t="s">
        <v>194</v>
      </c>
      <c r="AB546" s="775"/>
      <c r="AC546" s="775"/>
      <c r="AD546" s="775"/>
      <c r="AE546" s="775"/>
      <c r="AF546" s="775"/>
      <c r="AG546" s="775"/>
      <c r="AH546" s="775"/>
      <c r="AI546" s="775"/>
      <c r="AJ546" s="775"/>
      <c r="AK546" s="775"/>
      <c r="AL546" s="775"/>
      <c r="AM546" s="775"/>
      <c r="AN546" s="775"/>
      <c r="AO546" s="775"/>
      <c r="AP546" s="775"/>
    </row>
    <row r="547" spans="1:42" s="141" customFormat="1" ht="134.25" customHeight="1">
      <c r="A547" s="775" t="s">
        <v>1563</v>
      </c>
      <c r="B547" s="775" t="s">
        <v>1546</v>
      </c>
      <c r="C547" s="780">
        <v>44657</v>
      </c>
      <c r="D547" s="775" t="s">
        <v>190</v>
      </c>
      <c r="E547" s="775" t="s">
        <v>191</v>
      </c>
      <c r="F547" s="773" t="s">
        <v>1564</v>
      </c>
      <c r="G547" s="777">
        <v>1640000</v>
      </c>
      <c r="H547" s="757" t="s">
        <v>278</v>
      </c>
      <c r="I547" s="688" t="s">
        <v>194</v>
      </c>
      <c r="J547" s="658" t="str">
        <f>VLOOKUP($I547,Prices!A:B,2,0)</f>
        <v>.</v>
      </c>
      <c r="K547" s="790" t="s">
        <v>194</v>
      </c>
      <c r="L547" s="788" t="s">
        <v>194</v>
      </c>
      <c r="M547" s="788" t="s">
        <v>194</v>
      </c>
      <c r="N547" s="647" t="str">
        <f>VLOOKUP($I547,Prices!A:D,4,0)</f>
        <v>.</v>
      </c>
      <c r="O547" s="769" t="s">
        <v>194</v>
      </c>
      <c r="P547" s="793" t="s">
        <v>194</v>
      </c>
      <c r="Q547" s="772">
        <f>G547</f>
        <v>1640000</v>
      </c>
      <c r="R547" s="772">
        <f>Q547/VLOOKUP(H547, 'Currency Conversion'!B:C, 2, 0)</f>
        <v>1640000</v>
      </c>
      <c r="S547" s="749" t="s">
        <v>194</v>
      </c>
      <c r="T547" s="757" t="s">
        <v>195</v>
      </c>
      <c r="U547" s="756" t="s">
        <v>1565</v>
      </c>
      <c r="V547" s="756" t="s">
        <v>1566</v>
      </c>
      <c r="W547" s="773" t="s">
        <v>194</v>
      </c>
      <c r="X547" s="784" t="s">
        <v>194</v>
      </c>
      <c r="Y547" s="759">
        <v>0</v>
      </c>
      <c r="Z547" s="761">
        <v>0</v>
      </c>
      <c r="AA547" s="799" t="s">
        <v>194</v>
      </c>
      <c r="AB547" s="775"/>
      <c r="AC547" s="775"/>
      <c r="AD547" s="775"/>
      <c r="AE547" s="775"/>
      <c r="AF547" s="775"/>
      <c r="AG547" s="775"/>
      <c r="AH547" s="775"/>
      <c r="AI547" s="775"/>
      <c r="AJ547" s="775"/>
      <c r="AK547" s="775"/>
      <c r="AL547" s="775"/>
      <c r="AM547" s="775"/>
      <c r="AN547" s="775"/>
      <c r="AO547" s="775"/>
      <c r="AP547" s="775"/>
    </row>
    <row r="548" spans="1:42" s="141" customFormat="1" ht="29.25" customHeight="1">
      <c r="A548" s="868" t="s">
        <v>1567</v>
      </c>
      <c r="B548" s="868" t="s">
        <v>1546</v>
      </c>
      <c r="C548" s="867">
        <v>44680</v>
      </c>
      <c r="D548" s="868" t="s">
        <v>190</v>
      </c>
      <c r="E548" s="868" t="s">
        <v>375</v>
      </c>
      <c r="F548" s="890" t="s">
        <v>1568</v>
      </c>
      <c r="G548" s="875">
        <v>180000</v>
      </c>
      <c r="H548" s="870" t="s">
        <v>278</v>
      </c>
      <c r="I548" s="688" t="s">
        <v>1569</v>
      </c>
      <c r="J548" s="658">
        <f>VLOOKUP($I548,Prices!A:B,2,0)</f>
        <v>0</v>
      </c>
      <c r="K548" s="790">
        <f>VLOOKUP(I548,Prices!A:C,3,0)</f>
        <v>0</v>
      </c>
      <c r="L548" s="788">
        <v>100</v>
      </c>
      <c r="M548" s="725" t="s">
        <v>194</v>
      </c>
      <c r="N548" s="707">
        <f>VLOOKUP($I548,Prices!A:D,4,0)</f>
        <v>150</v>
      </c>
      <c r="O548" s="769">
        <f t="shared" si="35"/>
        <v>15000</v>
      </c>
      <c r="P548" s="793" t="s">
        <v>194</v>
      </c>
      <c r="Q548" s="869">
        <f>G548</f>
        <v>180000</v>
      </c>
      <c r="R548" s="869">
        <f>Q548/VLOOKUP(H548, 'Currency Conversion'!B:C, 2, 0)</f>
        <v>180000</v>
      </c>
      <c r="S548" s="886" t="s">
        <v>194</v>
      </c>
      <c r="T548" s="870" t="s">
        <v>298</v>
      </c>
      <c r="U548" s="854" t="s">
        <v>1570</v>
      </c>
      <c r="V548" s="854" t="s">
        <v>1571</v>
      </c>
      <c r="W548" s="854" t="s">
        <v>1572</v>
      </c>
      <c r="X548" s="880" t="s">
        <v>194</v>
      </c>
      <c r="Y548" s="878">
        <v>0</v>
      </c>
      <c r="Z548" s="870">
        <v>0</v>
      </c>
      <c r="AA548" s="894" t="s">
        <v>194</v>
      </c>
      <c r="AB548" s="775"/>
      <c r="AC548" s="775"/>
      <c r="AD548" s="775"/>
      <c r="AE548" s="775"/>
      <c r="AF548" s="775"/>
      <c r="AG548" s="775"/>
      <c r="AH548" s="775"/>
      <c r="AI548" s="775"/>
      <c r="AJ548" s="775"/>
      <c r="AK548" s="775"/>
      <c r="AL548" s="775"/>
      <c r="AM548" s="775"/>
      <c r="AN548" s="775"/>
      <c r="AO548" s="775"/>
      <c r="AP548" s="775"/>
    </row>
    <row r="549" spans="1:42" s="141" customFormat="1" ht="24.75" customHeight="1">
      <c r="A549" s="868"/>
      <c r="B549" s="868"/>
      <c r="C549" s="867"/>
      <c r="D549" s="868"/>
      <c r="E549" s="868"/>
      <c r="F549" s="890"/>
      <c r="G549" s="875"/>
      <c r="H549" s="870"/>
      <c r="I549" s="688" t="s">
        <v>1573</v>
      </c>
      <c r="J549" s="658">
        <f>VLOOKUP($I549,Prices!A:B,2,0)</f>
        <v>0</v>
      </c>
      <c r="K549" s="790">
        <f>VLOOKUP(I549,Prices!A:C,3,0)</f>
        <v>0</v>
      </c>
      <c r="L549" s="788">
        <v>40</v>
      </c>
      <c r="M549" s="725" t="s">
        <v>194</v>
      </c>
      <c r="N549" s="647">
        <f>VLOOKUP($I549,Prices!A:D,4,0)</f>
        <v>675</v>
      </c>
      <c r="O549" s="769">
        <f t="shared" si="35"/>
        <v>27000</v>
      </c>
      <c r="P549" s="793" t="s">
        <v>194</v>
      </c>
      <c r="Q549" s="869"/>
      <c r="R549" s="869"/>
      <c r="S549" s="886"/>
      <c r="T549" s="870"/>
      <c r="U549" s="854"/>
      <c r="V549" s="854"/>
      <c r="W549" s="854"/>
      <c r="X549" s="880"/>
      <c r="Y549" s="878"/>
      <c r="Z549" s="870"/>
      <c r="AA549" s="894"/>
      <c r="AB549" s="775"/>
      <c r="AC549" s="775"/>
      <c r="AD549" s="775"/>
      <c r="AE549" s="775"/>
      <c r="AF549" s="775"/>
      <c r="AG549" s="775"/>
      <c r="AH549" s="775"/>
      <c r="AI549" s="775"/>
      <c r="AJ549" s="775"/>
      <c r="AK549" s="775"/>
      <c r="AL549" s="775"/>
      <c r="AM549" s="775"/>
      <c r="AN549" s="775"/>
      <c r="AO549" s="775"/>
      <c r="AP549" s="775"/>
    </row>
    <row r="550" spans="1:42" s="141" customFormat="1" ht="24.75" customHeight="1">
      <c r="A550" s="868"/>
      <c r="B550" s="868"/>
      <c r="C550" s="867"/>
      <c r="D550" s="868"/>
      <c r="E550" s="868"/>
      <c r="F550" s="890"/>
      <c r="G550" s="875"/>
      <c r="H550" s="870"/>
      <c r="I550" s="688" t="s">
        <v>1574</v>
      </c>
      <c r="J550" s="658">
        <f>VLOOKUP($I550,Prices!A:B,2,0)</f>
        <v>0</v>
      </c>
      <c r="K550" s="790">
        <f>VLOOKUP(I550,Prices!A:C,3,0)</f>
        <v>0</v>
      </c>
      <c r="L550" s="788">
        <v>40</v>
      </c>
      <c r="M550" s="725" t="s">
        <v>194</v>
      </c>
      <c r="N550" s="707">
        <f>VLOOKUP($I550,Prices!A:D,4,0)</f>
        <v>632</v>
      </c>
      <c r="O550" s="769">
        <f t="shared" si="35"/>
        <v>25280</v>
      </c>
      <c r="P550" s="793" t="s">
        <v>194</v>
      </c>
      <c r="Q550" s="869"/>
      <c r="R550" s="869"/>
      <c r="S550" s="886"/>
      <c r="T550" s="870"/>
      <c r="U550" s="854"/>
      <c r="V550" s="854"/>
      <c r="W550" s="854"/>
      <c r="X550" s="880"/>
      <c r="Y550" s="878"/>
      <c r="Z550" s="870"/>
      <c r="AA550" s="894"/>
      <c r="AB550" s="775"/>
      <c r="AC550" s="775"/>
      <c r="AD550" s="775"/>
      <c r="AE550" s="775"/>
      <c r="AF550" s="775"/>
      <c r="AG550" s="775"/>
      <c r="AH550" s="775"/>
      <c r="AI550" s="775"/>
      <c r="AJ550" s="775"/>
      <c r="AK550" s="775"/>
      <c r="AL550" s="775"/>
      <c r="AM550" s="775"/>
      <c r="AN550" s="775"/>
      <c r="AO550" s="775"/>
      <c r="AP550" s="775"/>
    </row>
    <row r="551" spans="1:42" s="141" customFormat="1" ht="24.75" customHeight="1">
      <c r="A551" s="868"/>
      <c r="B551" s="868"/>
      <c r="C551" s="867"/>
      <c r="D551" s="868"/>
      <c r="E551" s="868"/>
      <c r="F551" s="890"/>
      <c r="G551" s="875"/>
      <c r="H551" s="870"/>
      <c r="I551" s="688" t="s">
        <v>1575</v>
      </c>
      <c r="J551" s="658">
        <f>VLOOKUP($I551,Prices!A:B,2,0)</f>
        <v>0</v>
      </c>
      <c r="K551" s="790">
        <f>VLOOKUP(I551,Prices!A:C,3,0)</f>
        <v>0</v>
      </c>
      <c r="L551" s="788" t="s">
        <v>224</v>
      </c>
      <c r="M551" s="725" t="s">
        <v>194</v>
      </c>
      <c r="N551" s="647">
        <f>VLOOKUP($I551,Prices!A:D,4,0)</f>
        <v>976.80000000000007</v>
      </c>
      <c r="O551" s="769" t="s">
        <v>194</v>
      </c>
      <c r="P551" s="793" t="s">
        <v>194</v>
      </c>
      <c r="Q551" s="869"/>
      <c r="R551" s="869"/>
      <c r="S551" s="886"/>
      <c r="T551" s="870"/>
      <c r="U551" s="854"/>
      <c r="V551" s="854"/>
      <c r="W551" s="854"/>
      <c r="X551" s="880"/>
      <c r="Y551" s="878"/>
      <c r="Z551" s="870"/>
      <c r="AA551" s="894"/>
      <c r="AB551" s="775"/>
      <c r="AC551" s="775"/>
      <c r="AD551" s="775"/>
      <c r="AE551" s="775"/>
      <c r="AF551" s="775"/>
      <c r="AG551" s="775"/>
      <c r="AH551" s="775"/>
      <c r="AI551" s="775"/>
      <c r="AJ551" s="775"/>
      <c r="AK551" s="775"/>
      <c r="AL551" s="775"/>
      <c r="AM551" s="775"/>
      <c r="AN551" s="775"/>
      <c r="AO551" s="775"/>
      <c r="AP551" s="775"/>
    </row>
    <row r="552" spans="1:42" s="141" customFormat="1" ht="24.75" customHeight="1">
      <c r="A552" s="868"/>
      <c r="B552" s="868"/>
      <c r="C552" s="867"/>
      <c r="D552" s="868"/>
      <c r="E552" s="868"/>
      <c r="F552" s="890"/>
      <c r="G552" s="875"/>
      <c r="H552" s="870"/>
      <c r="I552" s="688" t="s">
        <v>1576</v>
      </c>
      <c r="J552" s="658">
        <f>VLOOKUP($I552,Prices!A:B,2,0)</f>
        <v>0</v>
      </c>
      <c r="K552" s="790">
        <f>VLOOKUP(I552,Prices!A:C,3,0)</f>
        <v>0</v>
      </c>
      <c r="L552" s="788" t="s">
        <v>224</v>
      </c>
      <c r="M552" s="725" t="s">
        <v>194</v>
      </c>
      <c r="N552" s="707">
        <f>VLOOKUP($I552,Prices!A:D,4,0)</f>
        <v>305</v>
      </c>
      <c r="O552" s="769" t="s">
        <v>194</v>
      </c>
      <c r="P552" s="793" t="s">
        <v>194</v>
      </c>
      <c r="Q552" s="869"/>
      <c r="R552" s="869"/>
      <c r="S552" s="886"/>
      <c r="T552" s="870"/>
      <c r="U552" s="854"/>
      <c r="V552" s="854"/>
      <c r="W552" s="854"/>
      <c r="X552" s="880"/>
      <c r="Y552" s="878"/>
      <c r="Z552" s="870"/>
      <c r="AA552" s="894"/>
      <c r="AB552" s="775"/>
      <c r="AC552" s="775"/>
      <c r="AD552" s="775"/>
      <c r="AE552" s="775"/>
      <c r="AF552" s="775"/>
      <c r="AG552" s="775"/>
      <c r="AH552" s="775"/>
      <c r="AI552" s="775"/>
      <c r="AJ552" s="775"/>
      <c r="AK552" s="775"/>
      <c r="AL552" s="775"/>
      <c r="AM552" s="775"/>
      <c r="AN552" s="775"/>
      <c r="AO552" s="775"/>
      <c r="AP552" s="775"/>
    </row>
    <row r="553" spans="1:42" s="141" customFormat="1" ht="24.75" customHeight="1">
      <c r="A553" s="868"/>
      <c r="B553" s="868"/>
      <c r="C553" s="867"/>
      <c r="D553" s="868"/>
      <c r="E553" s="868"/>
      <c r="F553" s="890"/>
      <c r="G553" s="875"/>
      <c r="H553" s="870"/>
      <c r="I553" s="688" t="s">
        <v>1577</v>
      </c>
      <c r="J553" s="658">
        <f>VLOOKUP($I553,Prices!A:B,2,0)</f>
        <v>0</v>
      </c>
      <c r="K553" s="790">
        <f>VLOOKUP(I553,Prices!A:C,3,0)</f>
        <v>0</v>
      </c>
      <c r="L553" s="788" t="s">
        <v>224</v>
      </c>
      <c r="M553" s="725" t="s">
        <v>194</v>
      </c>
      <c r="N553" s="647">
        <f>VLOOKUP($I553,Prices!A:D,4,0)</f>
        <v>29.546880000000002</v>
      </c>
      <c r="O553" s="769" t="s">
        <v>194</v>
      </c>
      <c r="P553" s="793" t="s">
        <v>194</v>
      </c>
      <c r="Q553" s="869"/>
      <c r="R553" s="869"/>
      <c r="S553" s="886"/>
      <c r="T553" s="870"/>
      <c r="U553" s="854"/>
      <c r="V553" s="854"/>
      <c r="W553" s="854"/>
      <c r="X553" s="880"/>
      <c r="Y553" s="878"/>
      <c r="Z553" s="870"/>
      <c r="AA553" s="894"/>
      <c r="AB553" s="775"/>
      <c r="AC553" s="775"/>
      <c r="AD553" s="775"/>
      <c r="AE553" s="775"/>
      <c r="AF553" s="775"/>
      <c r="AG553" s="775"/>
      <c r="AH553" s="775"/>
      <c r="AI553" s="775"/>
      <c r="AJ553" s="775"/>
      <c r="AK553" s="775"/>
      <c r="AL553" s="775"/>
      <c r="AM553" s="775"/>
      <c r="AN553" s="775"/>
      <c r="AO553" s="775"/>
      <c r="AP553" s="775"/>
    </row>
    <row r="554" spans="1:42" s="141" customFormat="1" ht="22.5" customHeight="1">
      <c r="A554" s="848" t="s">
        <v>1578</v>
      </c>
      <c r="B554" s="848" t="s">
        <v>1546</v>
      </c>
      <c r="C554" s="848" t="s">
        <v>1579</v>
      </c>
      <c r="D554" s="848" t="s">
        <v>212</v>
      </c>
      <c r="E554" s="848" t="s">
        <v>213</v>
      </c>
      <c r="F554" s="850" t="s">
        <v>1580</v>
      </c>
      <c r="G554" s="872">
        <v>7000000</v>
      </c>
      <c r="H554" s="852" t="s">
        <v>260</v>
      </c>
      <c r="I554" s="547" t="s">
        <v>1581</v>
      </c>
      <c r="J554" s="658">
        <f>VLOOKUP($I554,Prices!A:B,2,0)</f>
        <v>2</v>
      </c>
      <c r="K554" s="790">
        <f>VLOOKUP(I554,Prices!A:C,3,0)</f>
        <v>0</v>
      </c>
      <c r="L554" s="644" t="s">
        <v>224</v>
      </c>
      <c r="M554" s="640" t="s">
        <v>224</v>
      </c>
      <c r="N554" s="647">
        <f>VLOOKUP($I554,Prices!A:D,4,0)</f>
        <v>700</v>
      </c>
      <c r="O554" s="769" t="s">
        <v>194</v>
      </c>
      <c r="P554" s="793" t="s">
        <v>194</v>
      </c>
      <c r="Q554" s="851">
        <f>G554</f>
        <v>7000000</v>
      </c>
      <c r="R554" s="851">
        <f>Q554/VLOOKUP(H554, 'Currency Conversion'!B:C, 2, 0)</f>
        <v>6628787.8787878789</v>
      </c>
      <c r="S554" s="853">
        <f>R554</f>
        <v>6628787.8787878789</v>
      </c>
      <c r="T554" s="852" t="s">
        <v>298</v>
      </c>
      <c r="U554" s="854" t="s">
        <v>1582</v>
      </c>
      <c r="V554" s="854" t="s">
        <v>1583</v>
      </c>
      <c r="W554" s="854" t="s">
        <v>1584</v>
      </c>
      <c r="X554" s="854" t="s">
        <v>1585</v>
      </c>
      <c r="Y554" s="852">
        <v>0</v>
      </c>
      <c r="Z554" s="852">
        <v>1</v>
      </c>
      <c r="AA554" s="941" t="s">
        <v>1582</v>
      </c>
      <c r="AB554" s="820" t="s">
        <v>21</v>
      </c>
      <c r="AC554" s="820" t="s">
        <v>21</v>
      </c>
      <c r="AD554" s="820" t="s">
        <v>21</v>
      </c>
      <c r="AE554" s="820" t="s">
        <v>21</v>
      </c>
      <c r="AF554" s="820" t="s">
        <v>21</v>
      </c>
      <c r="AG554" s="820" t="s">
        <v>21</v>
      </c>
      <c r="AH554" s="820" t="s">
        <v>21</v>
      </c>
      <c r="AI554" s="820" t="s">
        <v>21</v>
      </c>
      <c r="AJ554" s="820" t="s">
        <v>21</v>
      </c>
      <c r="AK554" s="820" t="s">
        <v>21</v>
      </c>
      <c r="AL554" s="820" t="s">
        <v>21</v>
      </c>
      <c r="AM554" s="820" t="s">
        <v>21</v>
      </c>
      <c r="AN554" s="820" t="s">
        <v>21</v>
      </c>
      <c r="AO554" s="820" t="s">
        <v>21</v>
      </c>
      <c r="AP554" s="775"/>
    </row>
    <row r="555" spans="1:42" s="141" customFormat="1" ht="26.25" customHeight="1">
      <c r="A555" s="848"/>
      <c r="B555" s="848"/>
      <c r="C555" s="848"/>
      <c r="D555" s="848"/>
      <c r="E555" s="848"/>
      <c r="F555" s="850"/>
      <c r="G555" s="872"/>
      <c r="H555" s="852"/>
      <c r="I555" s="547" t="s">
        <v>344</v>
      </c>
      <c r="J555" s="658">
        <f>VLOOKUP($I555,Prices!A:B,2,0)</f>
        <v>1</v>
      </c>
      <c r="K555" s="790">
        <f>VLOOKUP(I555,Prices!A:C,3,0)</f>
        <v>0</v>
      </c>
      <c r="L555" s="644" t="s">
        <v>224</v>
      </c>
      <c r="M555" s="640" t="s">
        <v>224</v>
      </c>
      <c r="N555" s="647">
        <f>VLOOKUP($I555,Prices!A:D,4,0)</f>
        <v>1400</v>
      </c>
      <c r="O555" s="769" t="s">
        <v>194</v>
      </c>
      <c r="P555" s="793" t="s">
        <v>194</v>
      </c>
      <c r="Q555" s="851"/>
      <c r="R555" s="851"/>
      <c r="S555" s="853"/>
      <c r="T555" s="852"/>
      <c r="U555" s="855"/>
      <c r="V555" s="855"/>
      <c r="W555" s="855"/>
      <c r="X555" s="855"/>
      <c r="Y555" s="852"/>
      <c r="Z555" s="852"/>
      <c r="AA555" s="942"/>
      <c r="AB555" s="820" t="s">
        <v>21</v>
      </c>
      <c r="AC555" s="820" t="s">
        <v>21</v>
      </c>
      <c r="AD555" s="820" t="s">
        <v>21</v>
      </c>
      <c r="AE555" s="820" t="s">
        <v>21</v>
      </c>
      <c r="AF555" s="820" t="s">
        <v>21</v>
      </c>
      <c r="AG555" s="820" t="s">
        <v>21</v>
      </c>
      <c r="AH555" s="820" t="s">
        <v>21</v>
      </c>
      <c r="AI555" s="820" t="s">
        <v>21</v>
      </c>
      <c r="AJ555" s="820" t="s">
        <v>21</v>
      </c>
      <c r="AK555" s="820" t="s">
        <v>21</v>
      </c>
      <c r="AL555" s="820" t="s">
        <v>21</v>
      </c>
      <c r="AM555" s="820" t="s">
        <v>21</v>
      </c>
      <c r="AN555" s="820" t="s">
        <v>21</v>
      </c>
      <c r="AO555" s="820" t="s">
        <v>21</v>
      </c>
      <c r="AP555" s="775"/>
    </row>
    <row r="556" spans="1:42" s="657" customFormat="1" ht="171.75" customHeight="1">
      <c r="A556" s="766" t="s">
        <v>1586</v>
      </c>
      <c r="B556" s="766" t="s">
        <v>1587</v>
      </c>
      <c r="C556" s="776">
        <v>44618</v>
      </c>
      <c r="D556" s="766" t="s">
        <v>190</v>
      </c>
      <c r="E556" s="766" t="s">
        <v>1588</v>
      </c>
      <c r="F556" s="773" t="s">
        <v>1589</v>
      </c>
      <c r="G556" s="778">
        <v>150000</v>
      </c>
      <c r="H556" s="759" t="s">
        <v>278</v>
      </c>
      <c r="I556" s="766" t="s">
        <v>194</v>
      </c>
      <c r="J556" s="658" t="str">
        <f>VLOOKUP($I556,Prices!A:B,2,0)</f>
        <v>.</v>
      </c>
      <c r="K556" s="790" t="s">
        <v>194</v>
      </c>
      <c r="L556" s="665" t="s">
        <v>194</v>
      </c>
      <c r="M556" s="788" t="s">
        <v>194</v>
      </c>
      <c r="N556" s="708" t="str">
        <f>VLOOKUP($I556,Prices!A:D,4,0)</f>
        <v>.</v>
      </c>
      <c r="O556" s="769" t="s">
        <v>194</v>
      </c>
      <c r="P556" s="793" t="s">
        <v>194</v>
      </c>
      <c r="Q556" s="778">
        <f>G556</f>
        <v>150000</v>
      </c>
      <c r="R556" s="772">
        <f>Q556/VLOOKUP(H556, 'Currency Conversion'!B:C, 2, 0)</f>
        <v>150000</v>
      </c>
      <c r="S556" s="749" t="s">
        <v>194</v>
      </c>
      <c r="T556" s="759" t="s">
        <v>195</v>
      </c>
      <c r="U556" s="756" t="s">
        <v>1590</v>
      </c>
      <c r="V556" s="756" t="s">
        <v>1591</v>
      </c>
      <c r="W556" s="756" t="s">
        <v>1592</v>
      </c>
      <c r="X556" s="784" t="s">
        <v>194</v>
      </c>
      <c r="Y556" s="759">
        <v>0</v>
      </c>
      <c r="Z556" s="759">
        <v>0</v>
      </c>
      <c r="AA556" s="799" t="s">
        <v>194</v>
      </c>
      <c r="AB556" s="757"/>
      <c r="AC556" s="757"/>
      <c r="AD556" s="757"/>
      <c r="AE556" s="757"/>
      <c r="AF556" s="757"/>
      <c r="AG556" s="757"/>
      <c r="AH556" s="757"/>
      <c r="AI556" s="757"/>
      <c r="AJ556" s="757"/>
      <c r="AK556" s="757"/>
      <c r="AL556" s="757"/>
      <c r="AM556" s="757"/>
      <c r="AN556" s="757"/>
      <c r="AO556" s="757"/>
      <c r="AP556" s="757"/>
    </row>
    <row r="557" spans="1:42" s="657" customFormat="1" ht="21.75" customHeight="1">
      <c r="A557" s="873" t="s">
        <v>1593</v>
      </c>
      <c r="B557" s="873" t="s">
        <v>1587</v>
      </c>
      <c r="C557" s="874">
        <v>44635</v>
      </c>
      <c r="D557" s="873" t="s">
        <v>190</v>
      </c>
      <c r="E557" s="873" t="s">
        <v>199</v>
      </c>
      <c r="F557" s="890" t="s">
        <v>1594</v>
      </c>
      <c r="G557" s="887" t="s">
        <v>201</v>
      </c>
      <c r="H557" s="878" t="s">
        <v>260</v>
      </c>
      <c r="I557" s="766" t="s">
        <v>876</v>
      </c>
      <c r="J557" s="658">
        <f>VLOOKUP($I557,Prices!A:B,2,0)</f>
        <v>0</v>
      </c>
      <c r="K557" s="790">
        <f>VLOOKUP(I557,Prices!A:C,3,0)</f>
        <v>0</v>
      </c>
      <c r="L557" s="665">
        <v>4316</v>
      </c>
      <c r="M557" s="725" t="s">
        <v>194</v>
      </c>
      <c r="N557" s="647">
        <f>VLOOKUP($I557,Prices!A:D,4,0)</f>
        <v>4646</v>
      </c>
      <c r="O557" s="769">
        <f t="shared" si="35"/>
        <v>20052136</v>
      </c>
      <c r="P557" s="793" t="s">
        <v>194</v>
      </c>
      <c r="Q557" s="887">
        <f>SUM(O557:O558)</f>
        <v>20170536</v>
      </c>
      <c r="R557" s="869">
        <f>Q557/VLOOKUP(H557, 'Currency Conversion'!B:C, 2, 0)</f>
        <v>19100886.363636363</v>
      </c>
      <c r="S557" s="886" t="s">
        <v>194</v>
      </c>
      <c r="T557" s="878" t="s">
        <v>195</v>
      </c>
      <c r="U557" s="854" t="s">
        <v>1595</v>
      </c>
      <c r="V557" s="854" t="s">
        <v>1596</v>
      </c>
      <c r="W557" s="890" t="s">
        <v>194</v>
      </c>
      <c r="X557" s="880" t="s">
        <v>194</v>
      </c>
      <c r="Y557" s="878">
        <v>0</v>
      </c>
      <c r="Z557" s="878">
        <v>0</v>
      </c>
      <c r="AA557" s="894" t="s">
        <v>194</v>
      </c>
      <c r="AB557" s="757"/>
      <c r="AC557" s="757"/>
      <c r="AD557" s="757"/>
      <c r="AE557" s="757"/>
      <c r="AF557" s="757"/>
      <c r="AG557" s="757"/>
      <c r="AH557" s="757"/>
      <c r="AI557" s="757"/>
      <c r="AJ557" s="757"/>
      <c r="AK557" s="757"/>
      <c r="AL557" s="757"/>
      <c r="AM557" s="757"/>
      <c r="AN557" s="757"/>
      <c r="AO557" s="757"/>
      <c r="AP557" s="757"/>
    </row>
    <row r="558" spans="1:42" s="657" customFormat="1" ht="50.25" customHeight="1">
      <c r="A558" s="873"/>
      <c r="B558" s="873"/>
      <c r="C558" s="874"/>
      <c r="D558" s="873"/>
      <c r="E558" s="873"/>
      <c r="F558" s="890"/>
      <c r="G558" s="887"/>
      <c r="H558" s="878"/>
      <c r="I558" s="766" t="s">
        <v>1597</v>
      </c>
      <c r="J558" s="658">
        <f>VLOOKUP($I558,Prices!A:B,2,0)</f>
        <v>0</v>
      </c>
      <c r="K558" s="790">
        <f>VLOOKUP(I558,Prices!A:C,3,0)</f>
        <v>0</v>
      </c>
      <c r="L558" s="665">
        <v>1184</v>
      </c>
      <c r="M558" s="725" t="s">
        <v>194</v>
      </c>
      <c r="N558" s="707">
        <f>VLOOKUP($I558,Prices!A:D,4,0)</f>
        <v>100</v>
      </c>
      <c r="O558" s="769">
        <f t="shared" si="35"/>
        <v>118400</v>
      </c>
      <c r="P558" s="793" t="s">
        <v>194</v>
      </c>
      <c r="Q558" s="887"/>
      <c r="R558" s="869"/>
      <c r="S558" s="886"/>
      <c r="T558" s="878"/>
      <c r="U558" s="854"/>
      <c r="V558" s="854"/>
      <c r="W558" s="890"/>
      <c r="X558" s="880"/>
      <c r="Y558" s="878"/>
      <c r="Z558" s="878"/>
      <c r="AA558" s="894"/>
      <c r="AB558" s="757"/>
      <c r="AC558" s="757"/>
      <c r="AD558" s="757"/>
      <c r="AE558" s="757"/>
      <c r="AF558" s="757"/>
      <c r="AG558" s="757"/>
      <c r="AH558" s="757"/>
      <c r="AI558" s="757"/>
      <c r="AJ558" s="757"/>
      <c r="AK558" s="757"/>
      <c r="AL558" s="757"/>
      <c r="AM558" s="757"/>
      <c r="AN558" s="757"/>
      <c r="AO558" s="757"/>
      <c r="AP558" s="757"/>
    </row>
    <row r="559" spans="1:42" s="657" customFormat="1" ht="180.75" customHeight="1">
      <c r="A559" s="766" t="s">
        <v>1598</v>
      </c>
      <c r="B559" s="766" t="s">
        <v>1587</v>
      </c>
      <c r="C559" s="776">
        <v>44637</v>
      </c>
      <c r="D559" s="766" t="s">
        <v>190</v>
      </c>
      <c r="E559" s="766" t="s">
        <v>1547</v>
      </c>
      <c r="F559" s="773" t="s">
        <v>1599</v>
      </c>
      <c r="G559" s="778">
        <v>23000000</v>
      </c>
      <c r="H559" s="759" t="s">
        <v>278</v>
      </c>
      <c r="I559" s="766" t="s">
        <v>194</v>
      </c>
      <c r="J559" s="658" t="str">
        <f>VLOOKUP($I559,Prices!A:B,2,0)</f>
        <v>.</v>
      </c>
      <c r="K559" s="790" t="s">
        <v>194</v>
      </c>
      <c r="L559" s="665" t="s">
        <v>194</v>
      </c>
      <c r="M559" s="788" t="s">
        <v>194</v>
      </c>
      <c r="N559" s="647" t="str">
        <f>VLOOKUP($I559,Prices!A:D,4,0)</f>
        <v>.</v>
      </c>
      <c r="O559" s="769" t="s">
        <v>194</v>
      </c>
      <c r="P559" s="793" t="s">
        <v>194</v>
      </c>
      <c r="Q559" s="778">
        <f>G559</f>
        <v>23000000</v>
      </c>
      <c r="R559" s="772">
        <f>Q559/VLOOKUP(H559, 'Currency Conversion'!B:C, 2, 0)</f>
        <v>23000000</v>
      </c>
      <c r="S559" s="749" t="s">
        <v>194</v>
      </c>
      <c r="T559" s="759" t="s">
        <v>195</v>
      </c>
      <c r="U559" s="756" t="s">
        <v>1600</v>
      </c>
      <c r="V559" s="756" t="s">
        <v>1601</v>
      </c>
      <c r="W559" s="783" t="s">
        <v>194</v>
      </c>
      <c r="X559" s="766" t="s">
        <v>194</v>
      </c>
      <c r="Y559" s="759">
        <v>0</v>
      </c>
      <c r="Z559" s="759">
        <v>0</v>
      </c>
      <c r="AA559" s="799" t="s">
        <v>194</v>
      </c>
      <c r="AB559" s="757"/>
      <c r="AC559" s="757"/>
      <c r="AD559" s="757"/>
      <c r="AE559" s="757"/>
      <c r="AF559" s="757"/>
      <c r="AG559" s="757"/>
      <c r="AH559" s="757"/>
      <c r="AI559" s="757"/>
      <c r="AJ559" s="757"/>
      <c r="AK559" s="757"/>
      <c r="AL559" s="757"/>
      <c r="AM559" s="757"/>
      <c r="AN559" s="757"/>
      <c r="AO559" s="757"/>
      <c r="AP559" s="757"/>
    </row>
    <row r="560" spans="1:42" s="657" customFormat="1" ht="62.25" customHeight="1">
      <c r="A560" s="766" t="s">
        <v>1602</v>
      </c>
      <c r="B560" s="766" t="s">
        <v>1587</v>
      </c>
      <c r="C560" s="776" t="s">
        <v>1603</v>
      </c>
      <c r="D560" s="766" t="s">
        <v>190</v>
      </c>
      <c r="E560" s="766" t="s">
        <v>199</v>
      </c>
      <c r="F560" s="773" t="s">
        <v>1604</v>
      </c>
      <c r="G560" s="778">
        <v>1161542</v>
      </c>
      <c r="H560" s="759" t="s">
        <v>278</v>
      </c>
      <c r="I560" s="766" t="s">
        <v>495</v>
      </c>
      <c r="J560" s="658">
        <f>VLOOKUP($I560,Prices!A:B,2,0)</f>
        <v>0</v>
      </c>
      <c r="K560" s="790">
        <f>VLOOKUP(I560,Prices!A:C,3,0)</f>
        <v>0</v>
      </c>
      <c r="L560" s="665">
        <v>11</v>
      </c>
      <c r="M560" s="788" t="s">
        <v>194</v>
      </c>
      <c r="N560" s="707">
        <f>VLOOKUP($I560,Prices!A:D,4,0)</f>
        <v>10000</v>
      </c>
      <c r="O560" s="769">
        <f t="shared" si="35"/>
        <v>110000</v>
      </c>
      <c r="P560" s="793" t="s">
        <v>194</v>
      </c>
      <c r="Q560" s="778">
        <f>G560</f>
        <v>1161542</v>
      </c>
      <c r="R560" s="772">
        <f>Q560/VLOOKUP(H560, 'Currency Conversion'!B:C, 2, 0)</f>
        <v>1161542</v>
      </c>
      <c r="S560" s="749" t="s">
        <v>194</v>
      </c>
      <c r="T560" s="759" t="s">
        <v>195</v>
      </c>
      <c r="U560" s="756" t="s">
        <v>1605</v>
      </c>
      <c r="V560" s="756" t="s">
        <v>1606</v>
      </c>
      <c r="W560" s="756" t="s">
        <v>1607</v>
      </c>
      <c r="X560" s="766" t="s">
        <v>194</v>
      </c>
      <c r="Y560" s="759">
        <v>0</v>
      </c>
      <c r="Z560" s="759">
        <v>0</v>
      </c>
      <c r="AA560" s="781" t="s">
        <v>194</v>
      </c>
      <c r="AB560" s="757"/>
      <c r="AC560" s="757"/>
      <c r="AD560" s="757"/>
      <c r="AE560" s="757"/>
      <c r="AF560" s="757"/>
      <c r="AG560" s="757"/>
      <c r="AH560" s="757"/>
      <c r="AI560" s="757"/>
      <c r="AJ560" s="757"/>
      <c r="AK560" s="757"/>
      <c r="AL560" s="757"/>
      <c r="AM560" s="757"/>
      <c r="AN560" s="757"/>
      <c r="AO560" s="757"/>
      <c r="AP560" s="757"/>
    </row>
    <row r="561" spans="1:42" s="657" customFormat="1" ht="97.5" customHeight="1">
      <c r="A561" s="766" t="s">
        <v>1608</v>
      </c>
      <c r="B561" s="776" t="s">
        <v>1587</v>
      </c>
      <c r="C561" s="776">
        <v>44659</v>
      </c>
      <c r="D561" s="766" t="s">
        <v>190</v>
      </c>
      <c r="E561" s="766" t="s">
        <v>1609</v>
      </c>
      <c r="F561" s="773" t="s">
        <v>1610</v>
      </c>
      <c r="G561" s="778" t="s">
        <v>201</v>
      </c>
      <c r="H561" s="759" t="s">
        <v>260</v>
      </c>
      <c r="I561" s="766" t="s">
        <v>495</v>
      </c>
      <c r="J561" s="658">
        <f>VLOOKUP($I561,Prices!A:B,2,0)</f>
        <v>0</v>
      </c>
      <c r="K561" s="790">
        <f>VLOOKUP(I561,Prices!A:C,3,0)</f>
        <v>0</v>
      </c>
      <c r="L561" s="665">
        <v>50</v>
      </c>
      <c r="M561" s="788" t="s">
        <v>194</v>
      </c>
      <c r="N561" s="647">
        <f>VLOOKUP($I561,Prices!A:D,4,0)</f>
        <v>10000</v>
      </c>
      <c r="O561" s="769">
        <f t="shared" si="35"/>
        <v>500000</v>
      </c>
      <c r="P561" s="793" t="s">
        <v>194</v>
      </c>
      <c r="Q561" s="778">
        <f>O561</f>
        <v>500000</v>
      </c>
      <c r="R561" s="772">
        <f>Q561/VLOOKUP(H561, 'Currency Conversion'!B:C, 2, 0)</f>
        <v>473484.84848484845</v>
      </c>
      <c r="S561" s="749" t="s">
        <v>194</v>
      </c>
      <c r="T561" s="759" t="s">
        <v>195</v>
      </c>
      <c r="U561" s="756" t="s">
        <v>1606</v>
      </c>
      <c r="V561" s="756" t="s">
        <v>1607</v>
      </c>
      <c r="W561" s="756" t="s">
        <v>1606</v>
      </c>
      <c r="X561" s="766" t="s">
        <v>194</v>
      </c>
      <c r="Y561" s="800">
        <v>0</v>
      </c>
      <c r="Z561" s="761">
        <v>0</v>
      </c>
      <c r="AA561" s="799" t="s">
        <v>194</v>
      </c>
      <c r="AB561" s="757"/>
      <c r="AC561" s="757"/>
      <c r="AD561" s="757"/>
      <c r="AE561" s="757"/>
      <c r="AF561" s="757"/>
      <c r="AG561" s="757"/>
      <c r="AH561" s="757"/>
      <c r="AI561" s="757"/>
      <c r="AJ561" s="757"/>
      <c r="AK561" s="757"/>
      <c r="AL561" s="757"/>
      <c r="AM561" s="757"/>
      <c r="AN561" s="757"/>
      <c r="AO561" s="757"/>
      <c r="AP561" s="757"/>
    </row>
    <row r="562" spans="1:42" s="141" customFormat="1" ht="23.1" customHeight="1">
      <c r="A562" s="868" t="s">
        <v>1611</v>
      </c>
      <c r="B562" s="868" t="s">
        <v>1587</v>
      </c>
      <c r="C562" s="867">
        <v>44622</v>
      </c>
      <c r="D562" s="868" t="s">
        <v>212</v>
      </c>
      <c r="E562" s="868" t="s">
        <v>320</v>
      </c>
      <c r="F562" s="890" t="s">
        <v>1612</v>
      </c>
      <c r="G562" s="875" t="s">
        <v>201</v>
      </c>
      <c r="H562" s="870" t="s">
        <v>260</v>
      </c>
      <c r="I562" s="775" t="s">
        <v>1613</v>
      </c>
      <c r="J562" s="658">
        <f>VLOOKUP($I562,Prices!A:B,2,0)</f>
        <v>2</v>
      </c>
      <c r="K562" s="790">
        <f>VLOOKUP(I562,Prices!A:C,3,0)</f>
        <v>0</v>
      </c>
      <c r="L562" s="788">
        <v>1370</v>
      </c>
      <c r="M562" s="647">
        <v>1370</v>
      </c>
      <c r="N562" s="707">
        <f>VLOOKUP($I562,Prices!A:D,4,0)</f>
        <v>2250</v>
      </c>
      <c r="O562" s="769">
        <f t="shared" si="35"/>
        <v>3082500</v>
      </c>
      <c r="P562" s="793">
        <f t="shared" si="36"/>
        <v>3082500</v>
      </c>
      <c r="Q562" s="869">
        <f>SUM(O562:O564)</f>
        <v>3677500</v>
      </c>
      <c r="R562" s="869">
        <f>Q562/VLOOKUP(H562, 'Currency Conversion'!B:C, 2, 0)</f>
        <v>3482481.0606060605</v>
      </c>
      <c r="S562" s="929">
        <f>R562</f>
        <v>3482481.0606060605</v>
      </c>
      <c r="T562" s="870" t="s">
        <v>298</v>
      </c>
      <c r="U562" s="854" t="s">
        <v>1614</v>
      </c>
      <c r="V562" s="854" t="s">
        <v>1615</v>
      </c>
      <c r="W562" s="890" t="s">
        <v>194</v>
      </c>
      <c r="X562" s="880" t="s">
        <v>194</v>
      </c>
      <c r="Y562" s="878">
        <v>0</v>
      </c>
      <c r="Z562" s="888">
        <v>0</v>
      </c>
      <c r="AA562" s="899" t="s">
        <v>1616</v>
      </c>
      <c r="AB562" s="775"/>
      <c r="AC562" s="775"/>
      <c r="AD562" s="775"/>
      <c r="AE562" s="775"/>
      <c r="AF562" s="775"/>
      <c r="AG562" s="775"/>
      <c r="AH562" s="775"/>
      <c r="AI562" s="775"/>
      <c r="AJ562" s="775"/>
      <c r="AK562" s="775"/>
      <c r="AL562" s="775"/>
      <c r="AM562" s="775"/>
      <c r="AN562" s="775"/>
      <c r="AO562" s="775"/>
      <c r="AP562" s="775"/>
    </row>
    <row r="563" spans="1:42" s="141" customFormat="1" ht="23.25" customHeight="1">
      <c r="A563" s="868"/>
      <c r="B563" s="868"/>
      <c r="C563" s="867"/>
      <c r="D563" s="868"/>
      <c r="E563" s="868"/>
      <c r="F563" s="890"/>
      <c r="G563" s="875"/>
      <c r="H563" s="870"/>
      <c r="I563" s="775" t="s">
        <v>864</v>
      </c>
      <c r="J563" s="658">
        <f>VLOOKUP($I563,Prices!A:B,2,0)</f>
        <v>2</v>
      </c>
      <c r="K563" s="790">
        <f>VLOOKUP(I563,Prices!A:C,3,0)</f>
        <v>0</v>
      </c>
      <c r="L563" s="788">
        <v>700000</v>
      </c>
      <c r="M563" s="647">
        <v>700000</v>
      </c>
      <c r="N563" s="647">
        <f>VLOOKUP($I563,Prices!A:D,4,0)</f>
        <v>0.85</v>
      </c>
      <c r="O563" s="769">
        <f t="shared" si="35"/>
        <v>595000</v>
      </c>
      <c r="P563" s="793">
        <f t="shared" si="36"/>
        <v>595000</v>
      </c>
      <c r="Q563" s="869"/>
      <c r="R563" s="869"/>
      <c r="S563" s="929"/>
      <c r="T563" s="870"/>
      <c r="U563" s="854"/>
      <c r="V563" s="854"/>
      <c r="W563" s="890"/>
      <c r="X563" s="880"/>
      <c r="Y563" s="878"/>
      <c r="Z563" s="888"/>
      <c r="AA563" s="899"/>
      <c r="AB563" s="775"/>
      <c r="AC563" s="775"/>
      <c r="AD563" s="775"/>
      <c r="AE563" s="775"/>
      <c r="AF563" s="775"/>
      <c r="AG563" s="775"/>
      <c r="AH563" s="775"/>
      <c r="AI563" s="775"/>
      <c r="AJ563" s="775"/>
      <c r="AK563" s="775"/>
      <c r="AL563" s="775"/>
      <c r="AM563" s="775"/>
      <c r="AN563" s="775"/>
      <c r="AO563" s="775"/>
      <c r="AP563" s="775"/>
    </row>
    <row r="564" spans="1:42" s="141" customFormat="1" ht="21.95" customHeight="1">
      <c r="A564" s="868"/>
      <c r="B564" s="868"/>
      <c r="C564" s="867"/>
      <c r="D564" s="868"/>
      <c r="E564" s="868"/>
      <c r="F564" s="890"/>
      <c r="G564" s="875"/>
      <c r="H564" s="870"/>
      <c r="I564" s="775" t="s">
        <v>530</v>
      </c>
      <c r="J564" s="658">
        <f>VLOOKUP($I564,Prices!A:B,2,0)</f>
        <v>2</v>
      </c>
      <c r="K564" s="790">
        <f>VLOOKUP(I564,Prices!A:C,3,0)</f>
        <v>0</v>
      </c>
      <c r="L564" s="788" t="s">
        <v>224</v>
      </c>
      <c r="M564" s="647" t="s">
        <v>224</v>
      </c>
      <c r="N564" s="707">
        <f>VLOOKUP($I564,Prices!A:D,4,0)</f>
        <v>5300</v>
      </c>
      <c r="O564" s="769" t="s">
        <v>194</v>
      </c>
      <c r="P564" s="793" t="s">
        <v>194</v>
      </c>
      <c r="Q564" s="869"/>
      <c r="R564" s="869"/>
      <c r="S564" s="929"/>
      <c r="T564" s="870"/>
      <c r="U564" s="854"/>
      <c r="V564" s="854"/>
      <c r="W564" s="890"/>
      <c r="X564" s="880"/>
      <c r="Y564" s="878"/>
      <c r="Z564" s="888"/>
      <c r="AA564" s="899"/>
      <c r="AB564" s="775"/>
      <c r="AC564" s="775"/>
      <c r="AD564" s="775"/>
      <c r="AE564" s="775"/>
      <c r="AF564" s="775"/>
      <c r="AG564" s="775"/>
      <c r="AH564" s="775"/>
      <c r="AI564" s="775"/>
      <c r="AJ564" s="775"/>
      <c r="AK564" s="775"/>
      <c r="AL564" s="775"/>
      <c r="AM564" s="775"/>
      <c r="AN564" s="775"/>
      <c r="AO564" s="775"/>
      <c r="AP564" s="775"/>
    </row>
    <row r="565" spans="1:42" s="141" customFormat="1" ht="50.1" customHeight="1">
      <c r="A565" s="766" t="s">
        <v>1617</v>
      </c>
      <c r="B565" s="766" t="s">
        <v>1587</v>
      </c>
      <c r="C565" s="776">
        <v>44631</v>
      </c>
      <c r="D565" s="766" t="s">
        <v>212</v>
      </c>
      <c r="E565" s="766" t="s">
        <v>320</v>
      </c>
      <c r="F565" s="773" t="s">
        <v>1618</v>
      </c>
      <c r="G565" s="778" t="s">
        <v>259</v>
      </c>
      <c r="H565" s="759" t="s">
        <v>194</v>
      </c>
      <c r="I565" s="766" t="s">
        <v>194</v>
      </c>
      <c r="J565" s="658" t="str">
        <f>VLOOKUP($I565,Prices!A:B,2,0)</f>
        <v>.</v>
      </c>
      <c r="K565" s="790" t="s">
        <v>194</v>
      </c>
      <c r="L565" s="665" t="s">
        <v>194</v>
      </c>
      <c r="M565" s="665" t="s">
        <v>194</v>
      </c>
      <c r="N565" s="647" t="str">
        <f>VLOOKUP($I565,Prices!A:D,4,0)</f>
        <v>.</v>
      </c>
      <c r="O565" s="769" t="s">
        <v>194</v>
      </c>
      <c r="P565" s="793" t="s">
        <v>194</v>
      </c>
      <c r="Q565" s="778" t="s">
        <v>194</v>
      </c>
      <c r="R565" s="778" t="s">
        <v>194</v>
      </c>
      <c r="S565" s="790" t="s">
        <v>194</v>
      </c>
      <c r="T565" s="759" t="s">
        <v>298</v>
      </c>
      <c r="U565" s="756" t="s">
        <v>1619</v>
      </c>
      <c r="V565" s="756" t="s">
        <v>1620</v>
      </c>
      <c r="W565" s="765" t="s">
        <v>194</v>
      </c>
      <c r="X565" s="811" t="s">
        <v>194</v>
      </c>
      <c r="Y565" s="759">
        <v>0</v>
      </c>
      <c r="Z565" s="759">
        <v>0</v>
      </c>
      <c r="AA565" s="813" t="s">
        <v>194</v>
      </c>
      <c r="AB565" s="775"/>
      <c r="AC565" s="775"/>
      <c r="AD565" s="775"/>
      <c r="AE565" s="775"/>
      <c r="AF565" s="775"/>
      <c r="AG565" s="775"/>
      <c r="AH565" s="775"/>
      <c r="AI565" s="775"/>
      <c r="AJ565" s="775"/>
      <c r="AK565" s="775"/>
      <c r="AL565" s="775"/>
      <c r="AM565" s="775"/>
      <c r="AN565" s="775"/>
      <c r="AO565" s="775"/>
      <c r="AP565" s="775"/>
    </row>
    <row r="566" spans="1:42" s="141" customFormat="1" ht="50.1" customHeight="1">
      <c r="A566" s="766" t="s">
        <v>1621</v>
      </c>
      <c r="B566" s="766" t="s">
        <v>1587</v>
      </c>
      <c r="C566" s="776">
        <v>44649</v>
      </c>
      <c r="D566" s="766" t="s">
        <v>212</v>
      </c>
      <c r="E566" s="766" t="s">
        <v>221</v>
      </c>
      <c r="F566" s="773" t="s">
        <v>1622</v>
      </c>
      <c r="G566" s="778" t="s">
        <v>201</v>
      </c>
      <c r="H566" s="759" t="s">
        <v>278</v>
      </c>
      <c r="I566" s="766" t="s">
        <v>1623</v>
      </c>
      <c r="J566" s="658">
        <f>VLOOKUP($I566,Prices!A:B,2,0)</f>
        <v>0</v>
      </c>
      <c r="K566" s="790">
        <f>VLOOKUP(I566,Prices!A:C,3,0)</f>
        <v>0</v>
      </c>
      <c r="L566" s="665">
        <v>1</v>
      </c>
      <c r="M566" s="665">
        <v>1</v>
      </c>
      <c r="N566" s="707">
        <f>VLOOKUP($I566,Prices!A:D,4,0)</f>
        <v>644000</v>
      </c>
      <c r="O566" s="769">
        <f t="shared" si="35"/>
        <v>644000</v>
      </c>
      <c r="P566" s="793">
        <f t="shared" si="36"/>
        <v>644000</v>
      </c>
      <c r="Q566" s="778">
        <f>O566</f>
        <v>644000</v>
      </c>
      <c r="R566" s="778">
        <f>Q566/VLOOKUP(H566, 'Currency Conversion'!B:C, 2, 0)</f>
        <v>644000</v>
      </c>
      <c r="S566" s="790">
        <f>R566</f>
        <v>644000</v>
      </c>
      <c r="T566" s="759" t="s">
        <v>195</v>
      </c>
      <c r="U566" s="756" t="s">
        <v>1624</v>
      </c>
      <c r="V566" s="765" t="s">
        <v>194</v>
      </c>
      <c r="W566" s="765" t="s">
        <v>194</v>
      </c>
      <c r="X566" s="811" t="s">
        <v>194</v>
      </c>
      <c r="Y566" s="759">
        <v>0</v>
      </c>
      <c r="Z566" s="759">
        <v>0</v>
      </c>
      <c r="AA566" s="762" t="s">
        <v>1625</v>
      </c>
      <c r="AB566" s="775"/>
      <c r="AC566" s="775"/>
      <c r="AD566" s="775"/>
      <c r="AE566" s="775"/>
      <c r="AF566" s="775"/>
      <c r="AG566" s="775"/>
      <c r="AH566" s="775"/>
      <c r="AI566" s="775"/>
      <c r="AJ566" s="775"/>
      <c r="AK566" s="775"/>
      <c r="AL566" s="775"/>
      <c r="AM566" s="775"/>
      <c r="AN566" s="775"/>
      <c r="AO566" s="775"/>
      <c r="AP566" s="775"/>
    </row>
    <row r="567" spans="1:42" s="141" customFormat="1" ht="18.75" customHeight="1">
      <c r="A567" s="873" t="s">
        <v>1626</v>
      </c>
      <c r="B567" s="873" t="s">
        <v>1587</v>
      </c>
      <c r="C567" s="874">
        <v>44672</v>
      </c>
      <c r="D567" s="873" t="s">
        <v>212</v>
      </c>
      <c r="E567" s="873" t="s">
        <v>213</v>
      </c>
      <c r="F567" s="890" t="s">
        <v>1627</v>
      </c>
      <c r="G567" s="887" t="s">
        <v>201</v>
      </c>
      <c r="H567" s="878" t="s">
        <v>260</v>
      </c>
      <c r="I567" s="766" t="s">
        <v>1628</v>
      </c>
      <c r="J567" s="658">
        <f>VLOOKUP($I567,Prices!A:B,2,0)</f>
        <v>2.5</v>
      </c>
      <c r="K567" s="790">
        <f>VLOOKUP(I567,Prices!A:C,3,0)</f>
        <v>0</v>
      </c>
      <c r="L567" s="665">
        <v>200</v>
      </c>
      <c r="M567" s="665">
        <v>200</v>
      </c>
      <c r="N567" s="647">
        <f>VLOOKUP($I567,Prices!A:D,4,0)</f>
        <v>65385</v>
      </c>
      <c r="O567" s="769">
        <f t="shared" si="35"/>
        <v>13077000</v>
      </c>
      <c r="P567" s="793">
        <f t="shared" si="36"/>
        <v>13077000</v>
      </c>
      <c r="Q567" s="887">
        <f>SUM(O567:O569)</f>
        <v>22311600</v>
      </c>
      <c r="R567" s="887">
        <f>Q567/VLOOKUP(H567, 'Currency Conversion'!B:C, 2, 0)</f>
        <v>21128409.09090909</v>
      </c>
      <c r="S567" s="865">
        <f>R567</f>
        <v>21128409.09090909</v>
      </c>
      <c r="T567" s="878" t="s">
        <v>240</v>
      </c>
      <c r="U567" s="854" t="s">
        <v>1629</v>
      </c>
      <c r="V567" s="854" t="s">
        <v>1630</v>
      </c>
      <c r="W567" s="854" t="s">
        <v>1631</v>
      </c>
      <c r="X567" s="883" t="s">
        <v>1632</v>
      </c>
      <c r="Y567" s="878">
        <v>0</v>
      </c>
      <c r="Z567" s="878">
        <v>0</v>
      </c>
      <c r="AA567" s="758" t="s">
        <v>1633</v>
      </c>
      <c r="AB567" s="775"/>
      <c r="AC567" s="775"/>
      <c r="AD567" s="775"/>
      <c r="AE567" s="775"/>
      <c r="AF567" s="775"/>
      <c r="AG567" s="775"/>
      <c r="AH567" s="775"/>
      <c r="AI567" s="775"/>
      <c r="AJ567" s="775"/>
      <c r="AK567" s="775"/>
      <c r="AL567" s="775"/>
      <c r="AM567" s="775"/>
      <c r="AN567" s="775"/>
      <c r="AO567" s="775"/>
      <c r="AP567" s="775"/>
    </row>
    <row r="568" spans="1:42" s="141" customFormat="1" ht="18.75" customHeight="1">
      <c r="A568" s="873"/>
      <c r="B568" s="873"/>
      <c r="C568" s="874"/>
      <c r="D568" s="873"/>
      <c r="E568" s="873"/>
      <c r="F568" s="890"/>
      <c r="G568" s="887"/>
      <c r="H568" s="878"/>
      <c r="I568" s="766" t="s">
        <v>1634</v>
      </c>
      <c r="J568" s="658">
        <f>VLOOKUP($I568,Prices!A:B,2,0)</f>
        <v>1</v>
      </c>
      <c r="K568" s="790">
        <f>VLOOKUP(I568,Prices!A:C,3,0)</f>
        <v>0</v>
      </c>
      <c r="L568" s="665">
        <v>20</v>
      </c>
      <c r="M568" s="665">
        <v>20</v>
      </c>
      <c r="N568" s="707">
        <f>VLOOKUP($I568,Prices!A:D,4,0)</f>
        <v>461730</v>
      </c>
      <c r="O568" s="769">
        <f t="shared" si="35"/>
        <v>9234600</v>
      </c>
      <c r="P568" s="793">
        <f t="shared" si="36"/>
        <v>9234600</v>
      </c>
      <c r="Q568" s="887"/>
      <c r="R568" s="887"/>
      <c r="S568" s="865"/>
      <c r="T568" s="878"/>
      <c r="U568" s="854"/>
      <c r="V568" s="854"/>
      <c r="W568" s="854"/>
      <c r="X568" s="883"/>
      <c r="Y568" s="878"/>
      <c r="Z568" s="878"/>
      <c r="AA568" s="758" t="s">
        <v>1631</v>
      </c>
      <c r="AB568" s="775"/>
      <c r="AC568" s="775"/>
      <c r="AD568" s="775"/>
      <c r="AE568" s="775"/>
      <c r="AF568" s="775"/>
      <c r="AG568" s="775"/>
      <c r="AH568" s="775"/>
      <c r="AI568" s="775"/>
      <c r="AJ568" s="775"/>
      <c r="AK568" s="775"/>
      <c r="AL568" s="775"/>
      <c r="AM568" s="775"/>
      <c r="AN568" s="775"/>
      <c r="AO568" s="775"/>
      <c r="AP568" s="775"/>
    </row>
    <row r="569" spans="1:42" s="141" customFormat="1" ht="18.75" customHeight="1">
      <c r="A569" s="873"/>
      <c r="B569" s="873"/>
      <c r="C569" s="874"/>
      <c r="D569" s="873"/>
      <c r="E569" s="873"/>
      <c r="F569" s="890"/>
      <c r="G569" s="887"/>
      <c r="H569" s="878"/>
      <c r="I569" s="766" t="s">
        <v>1635</v>
      </c>
      <c r="J569" s="658">
        <f>VLOOKUP($I569,Prices!A:B,2,0)</f>
        <v>1</v>
      </c>
      <c r="K569" s="790">
        <f>VLOOKUP(I569,Prices!A:C,3,0)</f>
        <v>0</v>
      </c>
      <c r="L569" s="665">
        <v>30</v>
      </c>
      <c r="M569" s="665">
        <v>30</v>
      </c>
      <c r="N569" s="647" t="str">
        <f>VLOOKUP($I569,Prices!A:D,4,0)</f>
        <v>.</v>
      </c>
      <c r="O569" s="769" t="s">
        <v>194</v>
      </c>
      <c r="P569" s="793" t="s">
        <v>194</v>
      </c>
      <c r="Q569" s="887"/>
      <c r="R569" s="887"/>
      <c r="S569" s="865"/>
      <c r="T569" s="878"/>
      <c r="U569" s="854"/>
      <c r="V569" s="854"/>
      <c r="W569" s="854"/>
      <c r="X569" s="883"/>
      <c r="Y569" s="878"/>
      <c r="Z569" s="878"/>
      <c r="AA569" s="758" t="s">
        <v>1633</v>
      </c>
      <c r="AB569" s="775"/>
      <c r="AC569" s="775"/>
      <c r="AD569" s="775"/>
      <c r="AE569" s="775"/>
      <c r="AF569" s="775"/>
      <c r="AG569" s="775"/>
      <c r="AH569" s="775"/>
      <c r="AI569" s="775"/>
      <c r="AJ569" s="775"/>
      <c r="AK569" s="775"/>
      <c r="AL569" s="775"/>
      <c r="AM569" s="775"/>
      <c r="AN569" s="775"/>
      <c r="AO569" s="775"/>
      <c r="AP569" s="775"/>
    </row>
    <row r="570" spans="1:42" s="141" customFormat="1" ht="18.75" customHeight="1">
      <c r="A570" s="873" t="s">
        <v>1636</v>
      </c>
      <c r="B570" s="873" t="s">
        <v>1587</v>
      </c>
      <c r="C570" s="874">
        <v>44717</v>
      </c>
      <c r="D570" s="873" t="s">
        <v>212</v>
      </c>
      <c r="E570" s="873" t="s">
        <v>320</v>
      </c>
      <c r="F570" s="890" t="s">
        <v>1637</v>
      </c>
      <c r="G570" s="887" t="s">
        <v>201</v>
      </c>
      <c r="H570" s="878" t="s">
        <v>260</v>
      </c>
      <c r="I570" s="766" t="s">
        <v>1638</v>
      </c>
      <c r="J570" s="658">
        <f>VLOOKUP($I570,Prices!A:B,2,0)</f>
        <v>4</v>
      </c>
      <c r="K570" s="790">
        <f>VLOOKUP(I570,Prices!A:C,3,0)</f>
        <v>0</v>
      </c>
      <c r="L570" s="665">
        <v>10</v>
      </c>
      <c r="M570" s="665" t="s">
        <v>194</v>
      </c>
      <c r="N570" s="707">
        <f>VLOOKUP($I570,Prices!A:D,4,0)</f>
        <v>1266191</v>
      </c>
      <c r="O570" s="769">
        <f t="shared" si="35"/>
        <v>12661910</v>
      </c>
      <c r="P570" s="793" t="s">
        <v>194</v>
      </c>
      <c r="Q570" s="887">
        <f>SUM(O570:O571)</f>
        <v>12661910</v>
      </c>
      <c r="R570" s="887">
        <f>Q570/VLOOKUP(H570, 'Currency Conversion'!B:C, 2, 0)</f>
        <v>11990445.075757574</v>
      </c>
      <c r="S570" s="865" t="s">
        <v>194</v>
      </c>
      <c r="T570" s="878" t="s">
        <v>298</v>
      </c>
      <c r="U570" s="854" t="s">
        <v>1639</v>
      </c>
      <c r="V570" s="854" t="s">
        <v>1640</v>
      </c>
      <c r="W570" s="854" t="s">
        <v>1641</v>
      </c>
      <c r="X570" s="883" t="s">
        <v>1642</v>
      </c>
      <c r="Y570" s="878">
        <v>0</v>
      </c>
      <c r="Z570" s="878">
        <v>0</v>
      </c>
      <c r="AA570" s="898" t="s">
        <v>194</v>
      </c>
      <c r="AB570" s="775"/>
      <c r="AC570" s="775"/>
      <c r="AD570" s="775"/>
      <c r="AE570" s="775"/>
      <c r="AF570" s="775"/>
      <c r="AG570" s="775"/>
      <c r="AH570" s="775"/>
      <c r="AI570" s="775"/>
      <c r="AJ570" s="775"/>
      <c r="AK570" s="775"/>
      <c r="AL570" s="775"/>
      <c r="AM570" s="775"/>
      <c r="AN570" s="775"/>
      <c r="AO570" s="775"/>
      <c r="AP570" s="775"/>
    </row>
    <row r="571" spans="1:42" s="141" customFormat="1" ht="35.25" customHeight="1">
      <c r="A571" s="873"/>
      <c r="B571" s="873"/>
      <c r="C571" s="874"/>
      <c r="D571" s="873"/>
      <c r="E571" s="873"/>
      <c r="F571" s="890"/>
      <c r="G571" s="887"/>
      <c r="H571" s="878"/>
      <c r="I571" s="766" t="s">
        <v>1643</v>
      </c>
      <c r="J571" s="658">
        <f>VLOOKUP($I571,Prices!A:B,2,0)</f>
        <v>4.5</v>
      </c>
      <c r="K571" s="790">
        <f>VLOOKUP(I571,Prices!A:C,3,0)</f>
        <v>0</v>
      </c>
      <c r="L571" s="665" t="s">
        <v>224</v>
      </c>
      <c r="M571" s="665" t="s">
        <v>194</v>
      </c>
      <c r="N571" s="647">
        <f>VLOOKUP($I571,Prices!A:D,4,0)</f>
        <v>100000</v>
      </c>
      <c r="O571" s="769" t="s">
        <v>194</v>
      </c>
      <c r="P571" s="793" t="s">
        <v>194</v>
      </c>
      <c r="Q571" s="887"/>
      <c r="R571" s="887"/>
      <c r="S571" s="865"/>
      <c r="T571" s="878"/>
      <c r="U571" s="854"/>
      <c r="V571" s="854"/>
      <c r="W571" s="854"/>
      <c r="X571" s="883"/>
      <c r="Y571" s="878"/>
      <c r="Z571" s="878"/>
      <c r="AA571" s="898"/>
      <c r="AB571" s="775"/>
      <c r="AC571" s="775"/>
      <c r="AD571" s="775"/>
      <c r="AE571" s="775"/>
      <c r="AF571" s="775"/>
      <c r="AG571" s="775"/>
      <c r="AH571" s="775"/>
      <c r="AI571" s="775"/>
      <c r="AJ571" s="775"/>
      <c r="AK571" s="775"/>
      <c r="AL571" s="775"/>
      <c r="AM571" s="775"/>
      <c r="AN571" s="775"/>
      <c r="AO571" s="775"/>
      <c r="AP571" s="775"/>
    </row>
    <row r="572" spans="1:42" s="141" customFormat="1" ht="35.25" customHeight="1">
      <c r="A572" s="766" t="s">
        <v>1644</v>
      </c>
      <c r="B572" s="766" t="s">
        <v>1645</v>
      </c>
      <c r="C572" s="776">
        <v>44673</v>
      </c>
      <c r="D572" s="766" t="s">
        <v>190</v>
      </c>
      <c r="E572" s="766" t="s">
        <v>199</v>
      </c>
      <c r="F572" s="773" t="s">
        <v>1646</v>
      </c>
      <c r="G572" s="778" t="s">
        <v>201</v>
      </c>
      <c r="H572" s="759" t="s">
        <v>194</v>
      </c>
      <c r="I572" s="766" t="s">
        <v>194</v>
      </c>
      <c r="J572" s="658" t="str">
        <f>VLOOKUP($I572,Prices!A:B,2,0)</f>
        <v>.</v>
      </c>
      <c r="K572" s="790" t="s">
        <v>194</v>
      </c>
      <c r="L572" s="665" t="s">
        <v>194</v>
      </c>
      <c r="M572" s="665" t="s">
        <v>194</v>
      </c>
      <c r="N572" s="708" t="str">
        <f>VLOOKUP($I572,Prices!A:D,4,0)</f>
        <v>.</v>
      </c>
      <c r="O572" s="769" t="s">
        <v>194</v>
      </c>
      <c r="P572" s="793" t="s">
        <v>194</v>
      </c>
      <c r="Q572" s="778" t="s">
        <v>194</v>
      </c>
      <c r="R572" s="778" t="s">
        <v>194</v>
      </c>
      <c r="S572" s="790" t="s">
        <v>194</v>
      </c>
      <c r="T572" s="759" t="s">
        <v>195</v>
      </c>
      <c r="U572" s="756" t="s">
        <v>1647</v>
      </c>
      <c r="V572" s="773" t="s">
        <v>194</v>
      </c>
      <c r="W572" s="773" t="s">
        <v>194</v>
      </c>
      <c r="X572" s="784" t="s">
        <v>194</v>
      </c>
      <c r="Y572" s="759">
        <v>0</v>
      </c>
      <c r="Z572" s="759">
        <v>0</v>
      </c>
      <c r="AA572" s="813" t="s">
        <v>194</v>
      </c>
      <c r="AB572" s="775"/>
      <c r="AC572" s="775"/>
      <c r="AD572" s="775"/>
      <c r="AE572" s="775"/>
      <c r="AF572" s="775"/>
      <c r="AG572" s="775"/>
      <c r="AH572" s="775"/>
      <c r="AI572" s="775"/>
      <c r="AJ572" s="775"/>
      <c r="AK572" s="775"/>
      <c r="AL572" s="775"/>
      <c r="AM572" s="775"/>
      <c r="AN572" s="775"/>
      <c r="AO572" s="775"/>
      <c r="AP572" s="775"/>
    </row>
    <row r="573" spans="1:42" s="657" customFormat="1" ht="60" customHeight="1">
      <c r="A573" s="766" t="s">
        <v>1648</v>
      </c>
      <c r="B573" s="766" t="s">
        <v>1645</v>
      </c>
      <c r="C573" s="776" t="s">
        <v>1649</v>
      </c>
      <c r="D573" s="766" t="s">
        <v>190</v>
      </c>
      <c r="E573" s="766" t="s">
        <v>375</v>
      </c>
      <c r="F573" s="773" t="s">
        <v>1650</v>
      </c>
      <c r="G573" s="778">
        <v>570000000</v>
      </c>
      <c r="H573" s="759" t="s">
        <v>1651</v>
      </c>
      <c r="I573" s="766" t="s">
        <v>194</v>
      </c>
      <c r="J573" s="658" t="str">
        <f>VLOOKUP($I573,Prices!A:B,2,0)</f>
        <v>.</v>
      </c>
      <c r="K573" s="790" t="s">
        <v>194</v>
      </c>
      <c r="L573" s="665" t="s">
        <v>194</v>
      </c>
      <c r="M573" s="665" t="s">
        <v>194</v>
      </c>
      <c r="N573" s="647" t="str">
        <f>VLOOKUP($I573,Prices!A:D,4,0)</f>
        <v>.</v>
      </c>
      <c r="O573" s="769" t="s">
        <v>194</v>
      </c>
      <c r="P573" s="793" t="s">
        <v>194</v>
      </c>
      <c r="Q573" s="772">
        <f>G573</f>
        <v>570000000</v>
      </c>
      <c r="R573" s="778">
        <f>Q573/VLOOKUP(H573, 'Currency Conversion'!B:C, 2, 0)</f>
        <v>53732018.62709979</v>
      </c>
      <c r="S573" s="790" t="s">
        <v>194</v>
      </c>
      <c r="T573" s="759" t="s">
        <v>195</v>
      </c>
      <c r="U573" s="756" t="s">
        <v>1652</v>
      </c>
      <c r="V573" s="756" t="s">
        <v>1653</v>
      </c>
      <c r="W573" s="756" t="s">
        <v>1654</v>
      </c>
      <c r="X573" s="784" t="s">
        <v>194</v>
      </c>
      <c r="Y573" s="759">
        <v>0</v>
      </c>
      <c r="Z573" s="759">
        <v>0</v>
      </c>
      <c r="AA573" s="781" t="s">
        <v>194</v>
      </c>
      <c r="AB573" s="757"/>
      <c r="AC573" s="757"/>
      <c r="AD573" s="757"/>
      <c r="AE573" s="757"/>
      <c r="AF573" s="757"/>
      <c r="AG573" s="757"/>
      <c r="AH573" s="757"/>
      <c r="AI573" s="757"/>
      <c r="AJ573" s="757"/>
      <c r="AK573" s="757"/>
      <c r="AL573" s="757"/>
      <c r="AM573" s="757"/>
      <c r="AN573" s="757"/>
      <c r="AO573" s="757"/>
      <c r="AP573" s="757"/>
    </row>
    <row r="574" spans="1:42" s="657" customFormat="1" ht="51" customHeight="1">
      <c r="A574" s="766" t="s">
        <v>1655</v>
      </c>
      <c r="B574" s="766" t="s">
        <v>1645</v>
      </c>
      <c r="C574" s="776">
        <v>44686</v>
      </c>
      <c r="D574" s="766" t="s">
        <v>190</v>
      </c>
      <c r="E574" s="766" t="s">
        <v>191</v>
      </c>
      <c r="F574" s="773" t="s">
        <v>1656</v>
      </c>
      <c r="G574" s="778">
        <v>230000000</v>
      </c>
      <c r="H574" s="759" t="s">
        <v>1651</v>
      </c>
      <c r="I574" s="766" t="s">
        <v>194</v>
      </c>
      <c r="J574" s="658" t="str">
        <f>VLOOKUP($I574,Prices!A:B,2,0)</f>
        <v>.</v>
      </c>
      <c r="K574" s="790" t="s">
        <v>194</v>
      </c>
      <c r="L574" s="665" t="s">
        <v>194</v>
      </c>
      <c r="M574" s="665" t="s">
        <v>194</v>
      </c>
      <c r="N574" s="707" t="str">
        <f>VLOOKUP($I574,Prices!A:D,4,0)</f>
        <v>.</v>
      </c>
      <c r="O574" s="769" t="s">
        <v>194</v>
      </c>
      <c r="P574" s="793" t="s">
        <v>194</v>
      </c>
      <c r="Q574" s="772">
        <f>G574</f>
        <v>230000000</v>
      </c>
      <c r="R574" s="778">
        <f>Q574/VLOOKUP(H574, 'Currency Conversion'!B:C, 2, 0)</f>
        <v>21681340.849531494</v>
      </c>
      <c r="S574" s="790" t="s">
        <v>194</v>
      </c>
      <c r="T574" s="757" t="s">
        <v>195</v>
      </c>
      <c r="U574" s="756" t="s">
        <v>1657</v>
      </c>
      <c r="V574" s="756" t="s">
        <v>1658</v>
      </c>
      <c r="W574" s="756" t="s">
        <v>1659</v>
      </c>
      <c r="X574" s="784" t="s">
        <v>194</v>
      </c>
      <c r="Y574" s="759">
        <v>0</v>
      </c>
      <c r="Z574" s="759">
        <v>0</v>
      </c>
      <c r="AA574" s="781" t="s">
        <v>194</v>
      </c>
      <c r="AB574" s="757"/>
      <c r="AC574" s="757"/>
      <c r="AD574" s="757"/>
      <c r="AE574" s="757"/>
      <c r="AF574" s="757"/>
      <c r="AG574" s="757"/>
      <c r="AH574" s="757"/>
      <c r="AI574" s="757"/>
      <c r="AJ574" s="757"/>
      <c r="AK574" s="757"/>
      <c r="AL574" s="757"/>
      <c r="AM574" s="757"/>
      <c r="AN574" s="757"/>
      <c r="AO574" s="757"/>
      <c r="AP574" s="757"/>
    </row>
    <row r="575" spans="1:42" s="657" customFormat="1" ht="51" customHeight="1">
      <c r="A575" s="766" t="s">
        <v>1660</v>
      </c>
      <c r="B575" s="766" t="s">
        <v>1645</v>
      </c>
      <c r="C575" s="776">
        <v>44714</v>
      </c>
      <c r="D575" s="766" t="s">
        <v>190</v>
      </c>
      <c r="E575" s="766" t="s">
        <v>191</v>
      </c>
      <c r="F575" s="773" t="s">
        <v>1661</v>
      </c>
      <c r="G575" s="778">
        <v>100000000</v>
      </c>
      <c r="H575" s="759" t="s">
        <v>1651</v>
      </c>
      <c r="I575" s="766" t="s">
        <v>194</v>
      </c>
      <c r="J575" s="658" t="str">
        <f>VLOOKUP($I575,Prices!A:B,2,0)</f>
        <v>.</v>
      </c>
      <c r="K575" s="790" t="s">
        <v>194</v>
      </c>
      <c r="L575" s="665" t="s">
        <v>194</v>
      </c>
      <c r="M575" s="665" t="s">
        <v>194</v>
      </c>
      <c r="N575" s="647" t="str">
        <f>VLOOKUP($I575,Prices!A:D,4,0)</f>
        <v>.</v>
      </c>
      <c r="O575" s="769" t="s">
        <v>194</v>
      </c>
      <c r="P575" s="793" t="s">
        <v>194</v>
      </c>
      <c r="Q575" s="772">
        <f>G575</f>
        <v>100000000</v>
      </c>
      <c r="R575" s="778">
        <f>Q575/VLOOKUP(H575, 'Currency Conversion'!B:C, 2, 0)</f>
        <v>9426669.9345789105</v>
      </c>
      <c r="S575" s="790" t="s">
        <v>194</v>
      </c>
      <c r="T575" s="757" t="s">
        <v>195</v>
      </c>
      <c r="U575" s="756" t="s">
        <v>1662</v>
      </c>
      <c r="V575" s="773" t="s">
        <v>194</v>
      </c>
      <c r="W575" s="773" t="s">
        <v>194</v>
      </c>
      <c r="X575" s="784" t="s">
        <v>194</v>
      </c>
      <c r="Y575" s="759">
        <v>0</v>
      </c>
      <c r="Z575" s="759">
        <v>0</v>
      </c>
      <c r="AA575" s="781" t="s">
        <v>194</v>
      </c>
      <c r="AB575" s="757"/>
      <c r="AC575" s="757"/>
      <c r="AD575" s="757"/>
      <c r="AE575" s="757"/>
      <c r="AF575" s="757"/>
      <c r="AG575" s="757"/>
      <c r="AH575" s="757"/>
      <c r="AI575" s="757"/>
      <c r="AJ575" s="757"/>
      <c r="AK575" s="757"/>
      <c r="AL575" s="757"/>
      <c r="AM575" s="757"/>
      <c r="AN575" s="757"/>
      <c r="AO575" s="757"/>
      <c r="AP575" s="757"/>
    </row>
    <row r="576" spans="1:42" s="141" customFormat="1" ht="18" customHeight="1">
      <c r="A576" s="868" t="s">
        <v>1663</v>
      </c>
      <c r="B576" s="868" t="s">
        <v>1645</v>
      </c>
      <c r="C576" s="867">
        <v>44619</v>
      </c>
      <c r="D576" s="868" t="s">
        <v>212</v>
      </c>
      <c r="E576" s="873" t="s">
        <v>213</v>
      </c>
      <c r="F576" s="890" t="s">
        <v>1664</v>
      </c>
      <c r="G576" s="869">
        <v>400000000</v>
      </c>
      <c r="H576" s="870" t="s">
        <v>1651</v>
      </c>
      <c r="I576" s="775" t="s">
        <v>344</v>
      </c>
      <c r="J576" s="658">
        <f>VLOOKUP($I576,Prices!A:B,2,0)</f>
        <v>1</v>
      </c>
      <c r="K576" s="790">
        <f>VLOOKUP(I576,Prices!A:C,3,0)</f>
        <v>0</v>
      </c>
      <c r="L576" s="788">
        <v>5000</v>
      </c>
      <c r="M576" s="665">
        <v>5000</v>
      </c>
      <c r="N576" s="707">
        <f>VLOOKUP($I576,Prices!A:D,4,0)</f>
        <v>1400</v>
      </c>
      <c r="O576" s="769">
        <f t="shared" si="35"/>
        <v>7000000</v>
      </c>
      <c r="P576" s="793">
        <f t="shared" si="36"/>
        <v>7000000</v>
      </c>
      <c r="Q576" s="869">
        <f>G576</f>
        <v>400000000</v>
      </c>
      <c r="R576" s="887">
        <f>Q576/VLOOKUP(H576, 'Currency Conversion'!B:C, 2, 0)</f>
        <v>37706679.738315642</v>
      </c>
      <c r="S576" s="865">
        <f>R576</f>
        <v>37706679.738315642</v>
      </c>
      <c r="T576" s="870" t="s">
        <v>195</v>
      </c>
      <c r="U576" s="854" t="s">
        <v>1665</v>
      </c>
      <c r="V576" s="854" t="s">
        <v>1666</v>
      </c>
      <c r="W576" s="854" t="s">
        <v>1667</v>
      </c>
      <c r="X576" s="880" t="s">
        <v>194</v>
      </c>
      <c r="Y576" s="878">
        <v>0</v>
      </c>
      <c r="Z576" s="888">
        <v>0</v>
      </c>
      <c r="AA576" s="899" t="s">
        <v>1668</v>
      </c>
      <c r="AB576" s="775"/>
      <c r="AC576" s="775"/>
      <c r="AD576" s="775"/>
      <c r="AE576" s="775"/>
      <c r="AF576" s="775"/>
      <c r="AG576" s="775"/>
      <c r="AH576" s="775"/>
      <c r="AI576" s="775"/>
      <c r="AJ576" s="775"/>
      <c r="AK576" s="775"/>
      <c r="AL576" s="775"/>
      <c r="AM576" s="775"/>
      <c r="AN576" s="775"/>
      <c r="AO576" s="775"/>
      <c r="AP576" s="775"/>
    </row>
    <row r="577" spans="1:42" s="141" customFormat="1" ht="18.95" customHeight="1">
      <c r="A577" s="868"/>
      <c r="B577" s="868"/>
      <c r="C577" s="867"/>
      <c r="D577" s="868"/>
      <c r="E577" s="873"/>
      <c r="F577" s="890"/>
      <c r="G577" s="869"/>
      <c r="H577" s="870"/>
      <c r="I577" s="775" t="s">
        <v>348</v>
      </c>
      <c r="J577" s="658">
        <f>VLOOKUP($I577,Prices!A:B,2,0)</f>
        <v>1</v>
      </c>
      <c r="K577" s="790">
        <f>VLOOKUP(I577,Prices!A:C,3,0)</f>
        <v>0</v>
      </c>
      <c r="L577" s="788">
        <v>5000</v>
      </c>
      <c r="M577" s="665">
        <v>5000</v>
      </c>
      <c r="N577" s="647">
        <f>VLOOKUP($I577,Prices!A:D,4,0)</f>
        <v>500</v>
      </c>
      <c r="O577" s="769">
        <f t="shared" si="35"/>
        <v>2500000</v>
      </c>
      <c r="P577" s="793">
        <f t="shared" si="36"/>
        <v>2500000</v>
      </c>
      <c r="Q577" s="869"/>
      <c r="R577" s="887"/>
      <c r="S577" s="865"/>
      <c r="T577" s="870"/>
      <c r="U577" s="854"/>
      <c r="V577" s="854"/>
      <c r="W577" s="854"/>
      <c r="X577" s="880"/>
      <c r="Y577" s="878"/>
      <c r="Z577" s="888"/>
      <c r="AA577" s="899"/>
      <c r="AB577" s="775"/>
      <c r="AC577" s="775"/>
      <c r="AD577" s="775"/>
      <c r="AE577" s="775"/>
      <c r="AF577" s="775"/>
      <c r="AG577" s="775"/>
      <c r="AH577" s="775"/>
      <c r="AI577" s="775"/>
      <c r="AJ577" s="775"/>
      <c r="AK577" s="775"/>
      <c r="AL577" s="775"/>
      <c r="AM577" s="775"/>
      <c r="AN577" s="775"/>
      <c r="AO577" s="775"/>
      <c r="AP577" s="775"/>
    </row>
    <row r="578" spans="1:42" s="141" customFormat="1" ht="15" customHeight="1">
      <c r="A578" s="868"/>
      <c r="B578" s="868"/>
      <c r="C578" s="867"/>
      <c r="D578" s="868"/>
      <c r="E578" s="873"/>
      <c r="F578" s="890"/>
      <c r="G578" s="869"/>
      <c r="H578" s="870"/>
      <c r="I578" s="775" t="s">
        <v>1669</v>
      </c>
      <c r="J578" s="658">
        <f>VLOOKUP($I578,Prices!A:B,2,0)</f>
        <v>3</v>
      </c>
      <c r="K578" s="790">
        <f>VLOOKUP(I578,Prices!A:C,3,0)</f>
        <v>0</v>
      </c>
      <c r="L578" s="788">
        <v>5000</v>
      </c>
      <c r="M578" s="665">
        <v>5000</v>
      </c>
      <c r="N578" s="707">
        <f>VLOOKUP($I578,Prices!A:D,4,0)</f>
        <v>2700</v>
      </c>
      <c r="O578" s="769">
        <f t="shared" si="35"/>
        <v>13500000</v>
      </c>
      <c r="P578" s="793">
        <f t="shared" si="36"/>
        <v>13500000</v>
      </c>
      <c r="Q578" s="869"/>
      <c r="R578" s="887"/>
      <c r="S578" s="865"/>
      <c r="T578" s="870"/>
      <c r="U578" s="854"/>
      <c r="V578" s="854"/>
      <c r="W578" s="854"/>
      <c r="X578" s="880"/>
      <c r="Y578" s="878"/>
      <c r="Z578" s="888"/>
      <c r="AA578" s="899"/>
      <c r="AB578" s="775"/>
      <c r="AC578" s="775"/>
      <c r="AD578" s="775"/>
      <c r="AE578" s="775"/>
      <c r="AF578" s="775"/>
      <c r="AG578" s="775"/>
      <c r="AH578" s="775"/>
      <c r="AI578" s="775"/>
      <c r="AJ578" s="775"/>
      <c r="AK578" s="775"/>
      <c r="AL578" s="775"/>
      <c r="AM578" s="775"/>
      <c r="AN578" s="775"/>
      <c r="AO578" s="775"/>
      <c r="AP578" s="775"/>
    </row>
    <row r="579" spans="1:42" s="141" customFormat="1" ht="17.100000000000001" customHeight="1">
      <c r="A579" s="868"/>
      <c r="B579" s="868"/>
      <c r="C579" s="867"/>
      <c r="D579" s="868"/>
      <c r="E579" s="873"/>
      <c r="F579" s="890"/>
      <c r="G579" s="869"/>
      <c r="H579" s="870"/>
      <c r="I579" s="775" t="s">
        <v>230</v>
      </c>
      <c r="J579" s="658">
        <f>VLOOKUP($I579,Prices!A:B,2,0)</f>
        <v>1</v>
      </c>
      <c r="K579" s="790">
        <f>VLOOKUP(I579,Prices!A:C,3,0)</f>
        <v>0</v>
      </c>
      <c r="L579" s="788">
        <v>135000</v>
      </c>
      <c r="M579" s="665">
        <v>135000</v>
      </c>
      <c r="N579" s="647">
        <f>VLOOKUP($I579,Prices!A:D,4,0)</f>
        <v>8</v>
      </c>
      <c r="O579" s="769">
        <f t="shared" si="35"/>
        <v>1080000</v>
      </c>
      <c r="P579" s="793">
        <f t="shared" si="36"/>
        <v>1080000</v>
      </c>
      <c r="Q579" s="869"/>
      <c r="R579" s="887"/>
      <c r="S579" s="865"/>
      <c r="T579" s="870"/>
      <c r="U579" s="854"/>
      <c r="V579" s="854"/>
      <c r="W579" s="854"/>
      <c r="X579" s="880"/>
      <c r="Y579" s="878"/>
      <c r="Z579" s="888"/>
      <c r="AA579" s="899"/>
      <c r="AB579" s="775"/>
      <c r="AC579" s="775"/>
      <c r="AD579" s="775"/>
      <c r="AE579" s="775"/>
      <c r="AF579" s="775"/>
      <c r="AG579" s="775"/>
      <c r="AH579" s="775"/>
      <c r="AI579" s="775"/>
      <c r="AJ579" s="775"/>
      <c r="AK579" s="775"/>
      <c r="AL579" s="775"/>
      <c r="AM579" s="775"/>
      <c r="AN579" s="775"/>
      <c r="AO579" s="775"/>
      <c r="AP579" s="775"/>
    </row>
    <row r="580" spans="1:42" s="141" customFormat="1" ht="38.25" customHeight="1">
      <c r="A580" s="775" t="s">
        <v>1670</v>
      </c>
      <c r="B580" s="775" t="s">
        <v>1645</v>
      </c>
      <c r="C580" s="780">
        <v>44619</v>
      </c>
      <c r="D580" s="775" t="s">
        <v>212</v>
      </c>
      <c r="E580" s="775" t="s">
        <v>276</v>
      </c>
      <c r="F580" s="773" t="s">
        <v>1671</v>
      </c>
      <c r="G580" s="772">
        <v>500000000</v>
      </c>
      <c r="H580" s="757" t="s">
        <v>1651</v>
      </c>
      <c r="I580" s="775" t="s">
        <v>194</v>
      </c>
      <c r="J580" s="658" t="str">
        <f>VLOOKUP($I580,Prices!A:B,2,0)</f>
        <v>.</v>
      </c>
      <c r="K580" s="790" t="s">
        <v>194</v>
      </c>
      <c r="L580" s="788" t="s">
        <v>194</v>
      </c>
      <c r="M580" s="788" t="s">
        <v>194</v>
      </c>
      <c r="N580" s="707" t="str">
        <f>VLOOKUP($I580,Prices!A:D,4,0)</f>
        <v>.</v>
      </c>
      <c r="O580" s="769" t="s">
        <v>194</v>
      </c>
      <c r="P580" s="793" t="s">
        <v>194</v>
      </c>
      <c r="Q580" s="772">
        <f>G580</f>
        <v>500000000</v>
      </c>
      <c r="R580" s="772">
        <f>Q580/VLOOKUP(H580, 'Currency Conversion'!B:C, 2, 0)</f>
        <v>47133349.672894552</v>
      </c>
      <c r="S580" s="749" t="s">
        <v>194</v>
      </c>
      <c r="T580" s="757" t="s">
        <v>195</v>
      </c>
      <c r="U580" s="756" t="s">
        <v>1672</v>
      </c>
      <c r="V580" s="756" t="s">
        <v>1667</v>
      </c>
      <c r="W580" s="773" t="s">
        <v>194</v>
      </c>
      <c r="X580" s="784" t="s">
        <v>194</v>
      </c>
      <c r="Y580" s="759">
        <v>0</v>
      </c>
      <c r="Z580" s="761">
        <v>0</v>
      </c>
      <c r="AA580" s="799" t="s">
        <v>194</v>
      </c>
      <c r="AB580" s="775"/>
      <c r="AC580" s="775"/>
      <c r="AD580" s="775"/>
      <c r="AE580" s="775"/>
      <c r="AF580" s="775"/>
      <c r="AG580" s="775"/>
      <c r="AH580" s="775"/>
      <c r="AI580" s="775"/>
      <c r="AJ580" s="775"/>
      <c r="AK580" s="775"/>
      <c r="AL580" s="775"/>
      <c r="AM580" s="775"/>
      <c r="AN580" s="775"/>
      <c r="AO580" s="775"/>
      <c r="AP580" s="775"/>
    </row>
    <row r="581" spans="1:42" s="141" customFormat="1" ht="39" customHeight="1">
      <c r="A581" s="775" t="s">
        <v>1673</v>
      </c>
      <c r="B581" s="775" t="s">
        <v>1645</v>
      </c>
      <c r="C581" s="780">
        <v>44643</v>
      </c>
      <c r="D581" s="775" t="s">
        <v>212</v>
      </c>
      <c r="E581" s="775" t="s">
        <v>213</v>
      </c>
      <c r="F581" s="773" t="s">
        <v>1674</v>
      </c>
      <c r="G581" s="772" t="s">
        <v>201</v>
      </c>
      <c r="H581" s="757" t="s">
        <v>260</v>
      </c>
      <c r="I581" s="775" t="s">
        <v>1669</v>
      </c>
      <c r="J581" s="658">
        <f>VLOOKUP($I581,Prices!A:B,2,0)</f>
        <v>3</v>
      </c>
      <c r="K581" s="790">
        <f>VLOOKUP(I581,Prices!A:C,3,0)</f>
        <v>0</v>
      </c>
      <c r="L581" s="788">
        <v>5000</v>
      </c>
      <c r="M581" s="788">
        <v>5000</v>
      </c>
      <c r="N581" s="647">
        <f>VLOOKUP($I581,Prices!A:D,4,0)</f>
        <v>2700</v>
      </c>
      <c r="O581" s="769">
        <f t="shared" si="35"/>
        <v>13500000</v>
      </c>
      <c r="P581" s="793">
        <f t="shared" si="36"/>
        <v>13500000</v>
      </c>
      <c r="Q581" s="772">
        <f>O581</f>
        <v>13500000</v>
      </c>
      <c r="R581" s="772">
        <f>Q581/VLOOKUP(H581, 'Currency Conversion'!B:C, 2, 0)</f>
        <v>12784090.909090908</v>
      </c>
      <c r="S581" s="749">
        <f>R581</f>
        <v>12784090.909090908</v>
      </c>
      <c r="T581" s="757" t="s">
        <v>195</v>
      </c>
      <c r="U581" s="756" t="s">
        <v>1675</v>
      </c>
      <c r="V581" s="756" t="s">
        <v>1676</v>
      </c>
      <c r="W581" s="773" t="s">
        <v>194</v>
      </c>
      <c r="X581" s="784" t="s">
        <v>194</v>
      </c>
      <c r="Y581" s="759">
        <v>0</v>
      </c>
      <c r="Z581" s="761">
        <v>0</v>
      </c>
      <c r="AA581" s="762" t="s">
        <v>1677</v>
      </c>
      <c r="AB581" s="775"/>
      <c r="AC581" s="775"/>
      <c r="AD581" s="775"/>
      <c r="AE581" s="775"/>
      <c r="AF581" s="775"/>
      <c r="AG581" s="775"/>
      <c r="AH581" s="775"/>
      <c r="AI581" s="775"/>
      <c r="AJ581" s="775"/>
      <c r="AK581" s="775"/>
      <c r="AL581" s="775"/>
      <c r="AM581" s="775"/>
      <c r="AN581" s="775"/>
      <c r="AO581" s="775"/>
      <c r="AP581" s="775"/>
    </row>
    <row r="582" spans="1:42" s="141" customFormat="1" ht="19.5" customHeight="1">
      <c r="A582" s="868" t="s">
        <v>1678</v>
      </c>
      <c r="B582" s="868" t="s">
        <v>1645</v>
      </c>
      <c r="C582" s="867">
        <v>44714</v>
      </c>
      <c r="D582" s="868" t="s">
        <v>212</v>
      </c>
      <c r="E582" s="868" t="s">
        <v>213</v>
      </c>
      <c r="F582" s="890" t="s">
        <v>1679</v>
      </c>
      <c r="G582" s="869">
        <f>900000000-578000000-60000000</f>
        <v>262000000</v>
      </c>
      <c r="H582" s="870" t="s">
        <v>1651</v>
      </c>
      <c r="I582" s="775" t="s">
        <v>1669</v>
      </c>
      <c r="J582" s="658">
        <f>VLOOKUP($I582,Prices!A:B,2,0)</f>
        <v>3</v>
      </c>
      <c r="K582" s="790">
        <f>VLOOKUP(I582,Prices!A:C,3,0)</f>
        <v>0</v>
      </c>
      <c r="L582" s="788">
        <v>5000</v>
      </c>
      <c r="M582" s="788" t="s">
        <v>194</v>
      </c>
      <c r="N582" s="707">
        <f>VLOOKUP($I582,Prices!A:D,4,0)</f>
        <v>2700</v>
      </c>
      <c r="O582" s="769">
        <f t="shared" si="35"/>
        <v>13500000</v>
      </c>
      <c r="P582" s="793" t="s">
        <v>194</v>
      </c>
      <c r="Q582" s="869">
        <f t="shared" ref="Q582" si="37">G582</f>
        <v>262000000</v>
      </c>
      <c r="R582" s="869">
        <f>Q582/VLOOKUP(H582, 'Currency Conversion'!B:C, 2, 0)</f>
        <v>24697875.228596747</v>
      </c>
      <c r="S582" s="886" t="s">
        <v>194</v>
      </c>
      <c r="T582" s="870" t="s">
        <v>195</v>
      </c>
      <c r="U582" s="854" t="s">
        <v>1662</v>
      </c>
      <c r="V582" s="854" t="s">
        <v>1680</v>
      </c>
      <c r="W582" s="854" t="s">
        <v>1681</v>
      </c>
      <c r="X582" s="880" t="s">
        <v>194</v>
      </c>
      <c r="Y582" s="878">
        <v>0</v>
      </c>
      <c r="Z582" s="870">
        <v>0</v>
      </c>
      <c r="AA582" s="907" t="s">
        <v>194</v>
      </c>
      <c r="AB582" s="775"/>
      <c r="AC582" s="775"/>
      <c r="AD582" s="775"/>
      <c r="AE582" s="775"/>
      <c r="AF582" s="775"/>
      <c r="AG582" s="775"/>
      <c r="AH582" s="775"/>
      <c r="AI582" s="775"/>
      <c r="AJ582" s="775"/>
      <c r="AK582" s="775"/>
      <c r="AL582" s="775"/>
      <c r="AM582" s="775"/>
      <c r="AN582" s="775"/>
      <c r="AO582" s="775"/>
      <c r="AP582" s="775"/>
    </row>
    <row r="583" spans="1:42" s="141" customFormat="1" ht="21" customHeight="1">
      <c r="A583" s="868"/>
      <c r="B583" s="868"/>
      <c r="C583" s="867"/>
      <c r="D583" s="868"/>
      <c r="E583" s="868"/>
      <c r="F583" s="890"/>
      <c r="G583" s="869"/>
      <c r="H583" s="870"/>
      <c r="I583" s="775" t="s">
        <v>1682</v>
      </c>
      <c r="J583" s="658">
        <f>VLOOKUP($I583,Prices!A:B,2,0)</f>
        <v>4.5</v>
      </c>
      <c r="K583" s="790">
        <f>VLOOKUP(I583,Prices!A:C,3,0)</f>
        <v>0</v>
      </c>
      <c r="L583" s="788">
        <v>1</v>
      </c>
      <c r="M583" s="788" t="s">
        <v>194</v>
      </c>
      <c r="N583" s="647" t="str">
        <f>VLOOKUP($I583,Prices!A:D,4,0)</f>
        <v>.</v>
      </c>
      <c r="O583" s="769" t="s">
        <v>194</v>
      </c>
      <c r="P583" s="793" t="s">
        <v>194</v>
      </c>
      <c r="Q583" s="869"/>
      <c r="R583" s="869"/>
      <c r="S583" s="886"/>
      <c r="T583" s="870"/>
      <c r="U583" s="854"/>
      <c r="V583" s="854"/>
      <c r="W583" s="854"/>
      <c r="X583" s="880"/>
      <c r="Y583" s="878"/>
      <c r="Z583" s="870"/>
      <c r="AA583" s="907"/>
      <c r="AB583" s="775"/>
      <c r="AC583" s="775"/>
      <c r="AD583" s="775"/>
      <c r="AE583" s="775"/>
      <c r="AF583" s="775"/>
      <c r="AG583" s="775"/>
      <c r="AH583" s="775"/>
      <c r="AI583" s="775"/>
      <c r="AJ583" s="775"/>
      <c r="AK583" s="775"/>
      <c r="AL583" s="775"/>
      <c r="AM583" s="775"/>
      <c r="AN583" s="775"/>
      <c r="AO583" s="775"/>
      <c r="AP583" s="775"/>
    </row>
    <row r="584" spans="1:42" s="141" customFormat="1" ht="24" customHeight="1">
      <c r="A584" s="868"/>
      <c r="B584" s="868"/>
      <c r="C584" s="867"/>
      <c r="D584" s="868"/>
      <c r="E584" s="868"/>
      <c r="F584" s="890"/>
      <c r="G584" s="869"/>
      <c r="H584" s="870"/>
      <c r="I584" s="775" t="s">
        <v>1683</v>
      </c>
      <c r="J584" s="658">
        <f>VLOOKUP($I584,Prices!A:B,2,0)</f>
        <v>2</v>
      </c>
      <c r="K584" s="790">
        <f>VLOOKUP(I584,Prices!A:C,3,0)</f>
        <v>0</v>
      </c>
      <c r="L584" s="788" t="s">
        <v>224</v>
      </c>
      <c r="M584" s="788" t="s">
        <v>194</v>
      </c>
      <c r="N584" s="707">
        <f>VLOOKUP($I584,Prices!A:D,4,0)</f>
        <v>9800</v>
      </c>
      <c r="O584" s="769" t="s">
        <v>194</v>
      </c>
      <c r="P584" s="793" t="s">
        <v>194</v>
      </c>
      <c r="Q584" s="869"/>
      <c r="R584" s="869"/>
      <c r="S584" s="886"/>
      <c r="T584" s="870"/>
      <c r="U584" s="854"/>
      <c r="V584" s="854"/>
      <c r="W584" s="854"/>
      <c r="X584" s="880"/>
      <c r="Y584" s="878"/>
      <c r="Z584" s="870"/>
      <c r="AA584" s="907"/>
      <c r="AB584" s="775"/>
      <c r="AC584" s="775"/>
      <c r="AD584" s="775"/>
      <c r="AE584" s="775"/>
      <c r="AF584" s="775"/>
      <c r="AG584" s="775"/>
      <c r="AH584" s="775"/>
      <c r="AI584" s="775"/>
      <c r="AJ584" s="775"/>
      <c r="AK584" s="775"/>
      <c r="AL584" s="775"/>
      <c r="AM584" s="775"/>
      <c r="AN584" s="775"/>
      <c r="AO584" s="775"/>
      <c r="AP584" s="775"/>
    </row>
    <row r="585" spans="1:42" s="141" customFormat="1" ht="39" customHeight="1">
      <c r="A585" s="775" t="s">
        <v>1684</v>
      </c>
      <c r="B585" s="775" t="s">
        <v>1645</v>
      </c>
      <c r="C585" s="780">
        <v>44714</v>
      </c>
      <c r="D585" s="775" t="s">
        <v>212</v>
      </c>
      <c r="E585" s="775" t="s">
        <v>276</v>
      </c>
      <c r="F585" s="773" t="s">
        <v>1685</v>
      </c>
      <c r="G585" s="772">
        <v>578000000</v>
      </c>
      <c r="H585" s="757" t="s">
        <v>1651</v>
      </c>
      <c r="I585" s="775" t="s">
        <v>194</v>
      </c>
      <c r="J585" s="658" t="str">
        <f>VLOOKUP($I585,Prices!A:B,2,0)</f>
        <v>.</v>
      </c>
      <c r="K585" s="790" t="s">
        <v>194</v>
      </c>
      <c r="L585" s="788" t="s">
        <v>194</v>
      </c>
      <c r="M585" s="788" t="s">
        <v>194</v>
      </c>
      <c r="N585" s="647" t="str">
        <f>VLOOKUP($I585,Prices!A:D,4,0)</f>
        <v>.</v>
      </c>
      <c r="O585" s="769" t="s">
        <v>194</v>
      </c>
      <c r="P585" s="793" t="s">
        <v>194</v>
      </c>
      <c r="Q585" s="772">
        <f>G585</f>
        <v>578000000</v>
      </c>
      <c r="R585" s="778">
        <f>Q585/VLOOKUP(H585, 'Currency Conversion'!B:C, 2, 0)</f>
        <v>54486152.221866101</v>
      </c>
      <c r="S585" s="749" t="s">
        <v>194</v>
      </c>
      <c r="T585" s="757" t="s">
        <v>195</v>
      </c>
      <c r="U585" s="756" t="s">
        <v>1662</v>
      </c>
      <c r="V585" s="756" t="s">
        <v>1680</v>
      </c>
      <c r="W585" s="756" t="s">
        <v>1681</v>
      </c>
      <c r="X585" s="784" t="s">
        <v>194</v>
      </c>
      <c r="Y585" s="759">
        <v>0</v>
      </c>
      <c r="Z585" s="761">
        <v>0</v>
      </c>
      <c r="AA585" s="781" t="s">
        <v>194</v>
      </c>
      <c r="AB585" s="775"/>
      <c r="AC585" s="775"/>
      <c r="AD585" s="775"/>
      <c r="AE585" s="775"/>
      <c r="AF585" s="775"/>
      <c r="AG585" s="775"/>
      <c r="AH585" s="775"/>
      <c r="AI585" s="775"/>
      <c r="AJ585" s="775"/>
      <c r="AK585" s="775"/>
      <c r="AL585" s="775"/>
      <c r="AM585" s="775"/>
      <c r="AN585" s="775"/>
      <c r="AO585" s="775"/>
      <c r="AP585" s="775"/>
    </row>
    <row r="586" spans="1:42" s="141" customFormat="1" ht="39" customHeight="1">
      <c r="A586" s="775" t="s">
        <v>1686</v>
      </c>
      <c r="B586" s="775" t="s">
        <v>1645</v>
      </c>
      <c r="C586" s="780">
        <v>44714</v>
      </c>
      <c r="D586" s="775" t="s">
        <v>212</v>
      </c>
      <c r="E586" s="775" t="s">
        <v>276</v>
      </c>
      <c r="F586" s="773" t="s">
        <v>1687</v>
      </c>
      <c r="G586" s="772">
        <v>60000000</v>
      </c>
      <c r="H586" s="757" t="s">
        <v>1651</v>
      </c>
      <c r="I586" s="775" t="s">
        <v>194</v>
      </c>
      <c r="J586" s="658" t="str">
        <f>VLOOKUP($I586,Prices!A:B,2,0)</f>
        <v>.</v>
      </c>
      <c r="K586" s="790" t="s">
        <v>194</v>
      </c>
      <c r="L586" s="788" t="s">
        <v>194</v>
      </c>
      <c r="M586" s="788" t="s">
        <v>194</v>
      </c>
      <c r="N586" s="708" t="str">
        <f>VLOOKUP($I586,Prices!A:D,4,0)</f>
        <v>.</v>
      </c>
      <c r="O586" s="769" t="s">
        <v>194</v>
      </c>
      <c r="P586" s="793" t="s">
        <v>194</v>
      </c>
      <c r="Q586" s="772">
        <f>G586</f>
        <v>60000000</v>
      </c>
      <c r="R586" s="778">
        <f>Q586/VLOOKUP(H586, 'Currency Conversion'!B:C, 2, 0)</f>
        <v>5656001.9607473463</v>
      </c>
      <c r="S586" s="749" t="s">
        <v>194</v>
      </c>
      <c r="T586" s="757" t="s">
        <v>195</v>
      </c>
      <c r="U586" s="756" t="s">
        <v>1662</v>
      </c>
      <c r="V586" s="756" t="s">
        <v>1680</v>
      </c>
      <c r="W586" s="756" t="s">
        <v>1681</v>
      </c>
      <c r="X586" s="784" t="s">
        <v>194</v>
      </c>
      <c r="Y586" s="759">
        <v>0</v>
      </c>
      <c r="Z586" s="761">
        <v>0</v>
      </c>
      <c r="AA586" s="781" t="s">
        <v>194</v>
      </c>
      <c r="AB586" s="775"/>
      <c r="AC586" s="775"/>
      <c r="AD586" s="775"/>
      <c r="AE586" s="775"/>
      <c r="AF586" s="775"/>
      <c r="AG586" s="775"/>
      <c r="AH586" s="775"/>
      <c r="AI586" s="775"/>
      <c r="AJ586" s="775"/>
      <c r="AK586" s="775"/>
      <c r="AL586" s="775"/>
      <c r="AM586" s="775"/>
      <c r="AN586" s="775"/>
      <c r="AO586" s="775"/>
      <c r="AP586" s="775"/>
    </row>
    <row r="587" spans="1:42" s="141" customFormat="1" ht="39" customHeight="1">
      <c r="A587" s="775" t="s">
        <v>1688</v>
      </c>
      <c r="B587" s="775" t="s">
        <v>1645</v>
      </c>
      <c r="C587" s="780">
        <v>44627</v>
      </c>
      <c r="D587" s="775" t="s">
        <v>292</v>
      </c>
      <c r="E587" s="784" t="s">
        <v>804</v>
      </c>
      <c r="F587" s="787" t="s">
        <v>1689</v>
      </c>
      <c r="G587" s="772">
        <v>50000000</v>
      </c>
      <c r="H587" s="757" t="s">
        <v>260</v>
      </c>
      <c r="I587" s="775" t="s">
        <v>194</v>
      </c>
      <c r="J587" s="658" t="str">
        <f>VLOOKUP($I587,Prices!A:B,2,0)</f>
        <v>.</v>
      </c>
      <c r="K587" s="790" t="s">
        <v>194</v>
      </c>
      <c r="L587" s="788" t="s">
        <v>194</v>
      </c>
      <c r="M587" s="788" t="s">
        <v>194</v>
      </c>
      <c r="N587" s="647" t="str">
        <f>VLOOKUP($I587,Prices!A:D,4,0)</f>
        <v>.</v>
      </c>
      <c r="O587" s="769" t="s">
        <v>194</v>
      </c>
      <c r="P587" s="793" t="s">
        <v>194</v>
      </c>
      <c r="Q587" s="772">
        <f>G587</f>
        <v>50000000</v>
      </c>
      <c r="R587" s="772">
        <f>Q587/VLOOKUP(H587, 'Currency Conversion'!B:C, 2, 0)</f>
        <v>47348484.848484844</v>
      </c>
      <c r="S587" s="749" t="s">
        <v>194</v>
      </c>
      <c r="T587" s="757" t="s">
        <v>195</v>
      </c>
      <c r="U587" s="756" t="s">
        <v>663</v>
      </c>
      <c r="V587" s="773" t="s">
        <v>194</v>
      </c>
      <c r="W587" s="773" t="s">
        <v>194</v>
      </c>
      <c r="X587" s="784" t="s">
        <v>194</v>
      </c>
      <c r="Y587" s="759">
        <v>1</v>
      </c>
      <c r="Z587" s="761">
        <v>0</v>
      </c>
      <c r="AA587" s="799" t="s">
        <v>194</v>
      </c>
      <c r="AB587" s="775"/>
      <c r="AC587" s="775"/>
      <c r="AD587" s="775"/>
      <c r="AE587" s="775"/>
      <c r="AF587" s="775"/>
      <c r="AG587" s="775"/>
      <c r="AH587" s="775"/>
      <c r="AI587" s="775"/>
      <c r="AJ587" s="775"/>
      <c r="AK587" s="775"/>
      <c r="AL587" s="775"/>
      <c r="AM587" s="775"/>
      <c r="AN587" s="775"/>
      <c r="AO587" s="775"/>
      <c r="AP587" s="775"/>
    </row>
    <row r="588" spans="1:42" s="141" customFormat="1" ht="39" customHeight="1">
      <c r="A588" s="775" t="s">
        <v>1690</v>
      </c>
      <c r="B588" s="775" t="s">
        <v>1645</v>
      </c>
      <c r="C588" s="780">
        <v>44673</v>
      </c>
      <c r="D588" s="775" t="s">
        <v>292</v>
      </c>
      <c r="E588" s="775" t="s">
        <v>804</v>
      </c>
      <c r="F588" s="773" t="s">
        <v>1691</v>
      </c>
      <c r="G588" s="772">
        <v>44000000</v>
      </c>
      <c r="H588" s="757" t="s">
        <v>278</v>
      </c>
      <c r="I588" s="775" t="s">
        <v>194</v>
      </c>
      <c r="J588" s="658" t="str">
        <f>VLOOKUP($I588,Prices!A:B,2,0)</f>
        <v>.</v>
      </c>
      <c r="K588" s="790" t="s">
        <v>194</v>
      </c>
      <c r="L588" s="788" t="s">
        <v>194</v>
      </c>
      <c r="M588" s="788" t="s">
        <v>194</v>
      </c>
      <c r="N588" s="707" t="str">
        <f>VLOOKUP($I588,Prices!A:D,4,0)</f>
        <v>.</v>
      </c>
      <c r="O588" s="769" t="s">
        <v>194</v>
      </c>
      <c r="P588" s="793" t="s">
        <v>194</v>
      </c>
      <c r="Q588" s="772">
        <f>G588</f>
        <v>44000000</v>
      </c>
      <c r="R588" s="772">
        <f>Q588/VLOOKUP(H588, 'Currency Conversion'!B:C, 2, 0)</f>
        <v>44000000</v>
      </c>
      <c r="S588" s="749" t="s">
        <v>194</v>
      </c>
      <c r="T588" s="757" t="s">
        <v>195</v>
      </c>
      <c r="U588" s="756" t="s">
        <v>1692</v>
      </c>
      <c r="V588" s="773" t="s">
        <v>194</v>
      </c>
      <c r="W588" s="773" t="s">
        <v>194</v>
      </c>
      <c r="X588" s="784" t="s">
        <v>194</v>
      </c>
      <c r="Y588" s="759">
        <v>1</v>
      </c>
      <c r="Z588" s="761">
        <v>0</v>
      </c>
      <c r="AA588" s="799" t="s">
        <v>194</v>
      </c>
      <c r="AB588" s="775"/>
      <c r="AC588" s="775"/>
      <c r="AD588" s="775"/>
      <c r="AE588" s="775"/>
      <c r="AF588" s="775"/>
      <c r="AG588" s="775"/>
      <c r="AH588" s="775"/>
      <c r="AI588" s="775"/>
      <c r="AJ588" s="775"/>
      <c r="AK588" s="775"/>
      <c r="AL588" s="775"/>
      <c r="AM588" s="775"/>
      <c r="AN588" s="775"/>
      <c r="AO588" s="775"/>
      <c r="AP588" s="775"/>
    </row>
    <row r="589" spans="1:42" s="141" customFormat="1" ht="194.25" customHeight="1">
      <c r="A589" s="775" t="s">
        <v>1693</v>
      </c>
      <c r="B589" s="775" t="s">
        <v>1694</v>
      </c>
      <c r="C589" s="780">
        <v>44631</v>
      </c>
      <c r="D589" s="775" t="s">
        <v>190</v>
      </c>
      <c r="E589" s="775" t="s">
        <v>1172</v>
      </c>
      <c r="F589" s="773" t="s">
        <v>1695</v>
      </c>
      <c r="G589" s="777">
        <v>60000000</v>
      </c>
      <c r="H589" s="757" t="s">
        <v>1696</v>
      </c>
      <c r="I589" s="793" t="s">
        <v>194</v>
      </c>
      <c r="J589" s="658" t="str">
        <f>VLOOKUP($I589,Prices!A:B,2,0)</f>
        <v>.</v>
      </c>
      <c r="K589" s="790" t="s">
        <v>194</v>
      </c>
      <c r="L589" s="643" t="s">
        <v>194</v>
      </c>
      <c r="M589" s="788" t="s">
        <v>194</v>
      </c>
      <c r="N589" s="647" t="str">
        <f>VLOOKUP($I589,Prices!A:D,4,0)</f>
        <v>.</v>
      </c>
      <c r="O589" s="769" t="s">
        <v>194</v>
      </c>
      <c r="P589" s="793" t="s">
        <v>194</v>
      </c>
      <c r="Q589" s="772">
        <f>G589</f>
        <v>60000000</v>
      </c>
      <c r="R589" s="772">
        <f>Q589/VLOOKUP(H589,'Currency Conversion'!$B$2:$C$16,2,0)</f>
        <v>58622374.206155345</v>
      </c>
      <c r="S589" s="749" t="s">
        <v>194</v>
      </c>
      <c r="T589" s="757" t="s">
        <v>195</v>
      </c>
      <c r="U589" s="756" t="s">
        <v>1697</v>
      </c>
      <c r="V589" s="756" t="s">
        <v>1698</v>
      </c>
      <c r="W589" s="756" t="s">
        <v>1699</v>
      </c>
      <c r="X589" s="779" t="s">
        <v>1700</v>
      </c>
      <c r="Y589" s="759">
        <v>0</v>
      </c>
      <c r="Z589" s="757">
        <v>0</v>
      </c>
      <c r="AA589" s="799" t="s">
        <v>194</v>
      </c>
      <c r="AB589" s="775"/>
      <c r="AC589" s="775"/>
      <c r="AD589" s="775"/>
      <c r="AE589" s="775"/>
      <c r="AF589" s="775"/>
      <c r="AG589" s="775"/>
      <c r="AH589" s="775"/>
      <c r="AI589" s="775"/>
      <c r="AJ589" s="775"/>
      <c r="AK589" s="775"/>
      <c r="AL589" s="775"/>
      <c r="AM589" s="775"/>
      <c r="AN589" s="775"/>
      <c r="AO589" s="775"/>
      <c r="AP589" s="775"/>
    </row>
    <row r="590" spans="1:42" s="141" customFormat="1" ht="84.75" customHeight="1">
      <c r="A590" s="775" t="s">
        <v>1701</v>
      </c>
      <c r="B590" s="775" t="s">
        <v>1702</v>
      </c>
      <c r="C590" s="780">
        <v>44595</v>
      </c>
      <c r="D590" s="775" t="s">
        <v>212</v>
      </c>
      <c r="E590" s="775" t="s">
        <v>320</v>
      </c>
      <c r="F590" s="773" t="s">
        <v>1703</v>
      </c>
      <c r="G590" s="777" t="s">
        <v>201</v>
      </c>
      <c r="H590" s="757" t="s">
        <v>194</v>
      </c>
      <c r="I590" s="775" t="s">
        <v>1704</v>
      </c>
      <c r="J590" s="658">
        <f>VLOOKUP($I590,Prices!A:B,2,0)</f>
        <v>5</v>
      </c>
      <c r="K590" s="790">
        <f>VLOOKUP(I590,Prices!A:C,3,0)</f>
        <v>0</v>
      </c>
      <c r="L590" s="788">
        <f>VLOOKUP(I590,Prices!A:D,2,0)</f>
        <v>5</v>
      </c>
      <c r="M590" s="788" t="s">
        <v>224</v>
      </c>
      <c r="N590" s="707">
        <f>VLOOKUP($I590,Prices!A:D,4,0)</f>
        <v>5000000</v>
      </c>
      <c r="O590" s="769">
        <f t="shared" ref="O590:O653" si="38">L590*N590</f>
        <v>25000000</v>
      </c>
      <c r="P590" s="793" t="s">
        <v>194</v>
      </c>
      <c r="Q590" s="772" t="s">
        <v>194</v>
      </c>
      <c r="R590" s="772" t="s">
        <v>194</v>
      </c>
      <c r="S590" s="749"/>
      <c r="T590" s="757" t="s">
        <v>298</v>
      </c>
      <c r="U590" s="756" t="s">
        <v>1705</v>
      </c>
      <c r="V590" s="773" t="s">
        <v>194</v>
      </c>
      <c r="W590" s="773" t="s">
        <v>194</v>
      </c>
      <c r="X590" s="784" t="s">
        <v>194</v>
      </c>
      <c r="Y590" s="759">
        <v>0</v>
      </c>
      <c r="Z590" s="754">
        <v>0</v>
      </c>
      <c r="AA590" s="762" t="s">
        <v>1706</v>
      </c>
      <c r="AB590" s="775"/>
      <c r="AC590" s="775"/>
      <c r="AD590" s="775"/>
      <c r="AE590" s="775"/>
      <c r="AF590" s="775"/>
      <c r="AG590" s="775"/>
      <c r="AH590" s="775"/>
      <c r="AI590" s="775"/>
      <c r="AJ590" s="775"/>
      <c r="AK590" s="775"/>
      <c r="AL590" s="775"/>
      <c r="AM590" s="775"/>
      <c r="AN590" s="775"/>
      <c r="AO590" s="775"/>
      <c r="AP590" s="775"/>
    </row>
    <row r="591" spans="1:42" s="141" customFormat="1" ht="25.5" customHeight="1">
      <c r="A591" s="868" t="s">
        <v>1707</v>
      </c>
      <c r="B591" s="868" t="s">
        <v>1702</v>
      </c>
      <c r="C591" s="867">
        <v>44618</v>
      </c>
      <c r="D591" s="868" t="s">
        <v>190</v>
      </c>
      <c r="E591" s="868" t="s">
        <v>199</v>
      </c>
      <c r="F591" s="890" t="s">
        <v>1708</v>
      </c>
      <c r="G591" s="875" t="s">
        <v>201</v>
      </c>
      <c r="H591" s="870" t="s">
        <v>260</v>
      </c>
      <c r="I591" s="775" t="s">
        <v>1709</v>
      </c>
      <c r="J591" s="658">
        <f>VLOOKUP($I591,Prices!A:B,2,0)</f>
        <v>0</v>
      </c>
      <c r="K591" s="790">
        <f>VLOOKUP(I591,Prices!A:C,3,0)</f>
        <v>0</v>
      </c>
      <c r="L591" s="788">
        <v>1536</v>
      </c>
      <c r="M591" s="927" t="s">
        <v>194</v>
      </c>
      <c r="N591" s="647">
        <f>VLOOKUP($I591,Prices!A:D,4,0)</f>
        <v>22</v>
      </c>
      <c r="O591" s="769">
        <f t="shared" si="38"/>
        <v>33792</v>
      </c>
      <c r="P591" s="793" t="s">
        <v>194</v>
      </c>
      <c r="Q591" s="869">
        <f>SUM(O591:O595)</f>
        <v>194482</v>
      </c>
      <c r="R591" s="869">
        <f>Q591/VLOOKUP(H591,'Currency Conversion'!B:C,2,0)</f>
        <v>184168.56060606061</v>
      </c>
      <c r="S591" s="886" t="s">
        <v>194</v>
      </c>
      <c r="T591" s="870" t="s">
        <v>195</v>
      </c>
      <c r="U591" s="854" t="s">
        <v>1710</v>
      </c>
      <c r="V591" s="890" t="s">
        <v>194</v>
      </c>
      <c r="W591" s="890" t="s">
        <v>194</v>
      </c>
      <c r="X591" s="880" t="s">
        <v>194</v>
      </c>
      <c r="Y591" s="878">
        <v>0</v>
      </c>
      <c r="Z591" s="852">
        <v>0</v>
      </c>
      <c r="AA591" s="894" t="s">
        <v>194</v>
      </c>
      <c r="AB591" s="775"/>
      <c r="AC591" s="775"/>
      <c r="AD591" s="775"/>
      <c r="AE591" s="775"/>
      <c r="AF591" s="775"/>
      <c r="AG591" s="775"/>
      <c r="AH591" s="775"/>
      <c r="AI591" s="775"/>
      <c r="AJ591" s="775"/>
      <c r="AK591" s="775"/>
      <c r="AL591" s="775"/>
      <c r="AM591" s="775"/>
      <c r="AN591" s="775"/>
      <c r="AO591" s="775"/>
      <c r="AP591" s="775"/>
    </row>
    <row r="592" spans="1:42" s="141" customFormat="1">
      <c r="A592" s="868"/>
      <c r="B592" s="868"/>
      <c r="C592" s="867"/>
      <c r="D592" s="868"/>
      <c r="E592" s="868"/>
      <c r="F592" s="890"/>
      <c r="G592" s="875"/>
      <c r="H592" s="870"/>
      <c r="I592" s="775" t="s">
        <v>1711</v>
      </c>
      <c r="J592" s="658">
        <f>VLOOKUP($I592,Prices!A:B,2,0)</f>
        <v>0</v>
      </c>
      <c r="K592" s="790">
        <f>VLOOKUP(I592,Prices!A:C,3,0)</f>
        <v>0</v>
      </c>
      <c r="L592" s="788">
        <v>240</v>
      </c>
      <c r="M592" s="927"/>
      <c r="N592" s="707">
        <f>VLOOKUP($I592,Prices!A:D,4,0)</f>
        <v>200</v>
      </c>
      <c r="O592" s="769">
        <f t="shared" si="38"/>
        <v>48000</v>
      </c>
      <c r="P592" s="793" t="s">
        <v>194</v>
      </c>
      <c r="Q592" s="869"/>
      <c r="R592" s="869"/>
      <c r="S592" s="886"/>
      <c r="T592" s="870"/>
      <c r="U592" s="854"/>
      <c r="V592" s="890"/>
      <c r="W592" s="890"/>
      <c r="X592" s="880"/>
      <c r="Y592" s="878"/>
      <c r="Z592" s="852"/>
      <c r="AA592" s="894"/>
      <c r="AB592" s="775"/>
      <c r="AC592" s="775"/>
      <c r="AD592" s="775"/>
      <c r="AE592" s="775"/>
      <c r="AF592" s="775"/>
      <c r="AG592" s="775"/>
      <c r="AH592" s="775"/>
      <c r="AI592" s="775"/>
      <c r="AJ592" s="775"/>
      <c r="AK592" s="775"/>
      <c r="AL592" s="775"/>
      <c r="AM592" s="775"/>
      <c r="AN592" s="775"/>
      <c r="AO592" s="775"/>
      <c r="AP592" s="775"/>
    </row>
    <row r="593" spans="1:42" s="141" customFormat="1" ht="15.6" customHeight="1">
      <c r="A593" s="868"/>
      <c r="B593" s="868"/>
      <c r="C593" s="867"/>
      <c r="D593" s="868"/>
      <c r="E593" s="868"/>
      <c r="F593" s="890"/>
      <c r="G593" s="875"/>
      <c r="H593" s="870"/>
      <c r="I593" s="775" t="s">
        <v>769</v>
      </c>
      <c r="J593" s="658">
        <f>VLOOKUP($I593,Prices!A:B,2,0)</f>
        <v>0</v>
      </c>
      <c r="K593" s="790">
        <f>VLOOKUP(I593,Prices!A:C,3,0)</f>
        <v>0</v>
      </c>
      <c r="L593" s="788">
        <v>1680</v>
      </c>
      <c r="M593" s="927"/>
      <c r="N593" s="647">
        <f>VLOOKUP($I593,Prices!A:D,4,0)</f>
        <v>43</v>
      </c>
      <c r="O593" s="769">
        <f t="shared" si="38"/>
        <v>72240</v>
      </c>
      <c r="P593" s="793" t="s">
        <v>194</v>
      </c>
      <c r="Q593" s="869"/>
      <c r="R593" s="869"/>
      <c r="S593" s="886"/>
      <c r="T593" s="870"/>
      <c r="U593" s="854"/>
      <c r="V593" s="890"/>
      <c r="W593" s="890"/>
      <c r="X593" s="880"/>
      <c r="Y593" s="878"/>
      <c r="Z593" s="852"/>
      <c r="AA593" s="894"/>
      <c r="AB593" s="775"/>
      <c r="AC593" s="775"/>
      <c r="AD593" s="775"/>
      <c r="AE593" s="775"/>
      <c r="AF593" s="775"/>
      <c r="AG593" s="775"/>
      <c r="AH593" s="775"/>
      <c r="AI593" s="775"/>
      <c r="AJ593" s="775"/>
      <c r="AK593" s="775"/>
      <c r="AL593" s="775"/>
      <c r="AM593" s="775"/>
      <c r="AN593" s="775"/>
      <c r="AO593" s="775"/>
      <c r="AP593" s="775"/>
    </row>
    <row r="594" spans="1:42" s="141" customFormat="1" ht="15.6" customHeight="1">
      <c r="A594" s="868"/>
      <c r="B594" s="868"/>
      <c r="C594" s="867"/>
      <c r="D594" s="868"/>
      <c r="E594" s="868"/>
      <c r="F594" s="890"/>
      <c r="G594" s="875"/>
      <c r="H594" s="870"/>
      <c r="I594" s="775" t="s">
        <v>1044</v>
      </c>
      <c r="J594" s="658">
        <f>VLOOKUP($I594,Prices!A:B,2,0)</f>
        <v>0</v>
      </c>
      <c r="K594" s="790">
        <f>VLOOKUP(I594,Prices!A:C,3,0)</f>
        <v>0</v>
      </c>
      <c r="L594" s="788">
        <v>200</v>
      </c>
      <c r="M594" s="927"/>
      <c r="N594" s="707">
        <f>VLOOKUP($I594,Prices!A:D,4,0)</f>
        <v>200</v>
      </c>
      <c r="O594" s="769">
        <f t="shared" si="38"/>
        <v>40000</v>
      </c>
      <c r="P594" s="793" t="s">
        <v>194</v>
      </c>
      <c r="Q594" s="869"/>
      <c r="R594" s="869"/>
      <c r="S594" s="886"/>
      <c r="T594" s="870"/>
      <c r="U594" s="854"/>
      <c r="V594" s="890"/>
      <c r="W594" s="890"/>
      <c r="X594" s="880"/>
      <c r="Y594" s="878"/>
      <c r="Z594" s="852"/>
      <c r="AA594" s="894"/>
      <c r="AB594" s="775"/>
      <c r="AC594" s="775"/>
      <c r="AD594" s="775"/>
      <c r="AE594" s="775"/>
      <c r="AF594" s="775"/>
      <c r="AG594" s="775"/>
      <c r="AH594" s="775"/>
      <c r="AI594" s="775"/>
      <c r="AJ594" s="775"/>
      <c r="AK594" s="775"/>
      <c r="AL594" s="775"/>
      <c r="AM594" s="775"/>
      <c r="AN594" s="775"/>
      <c r="AO594" s="775"/>
      <c r="AP594" s="775"/>
    </row>
    <row r="595" spans="1:42" s="141" customFormat="1" ht="15.6" customHeight="1">
      <c r="A595" s="868"/>
      <c r="B595" s="868"/>
      <c r="C595" s="867"/>
      <c r="D595" s="868"/>
      <c r="E595" s="868"/>
      <c r="F595" s="890"/>
      <c r="G595" s="875"/>
      <c r="H595" s="870"/>
      <c r="I595" s="775" t="s">
        <v>711</v>
      </c>
      <c r="J595" s="658">
        <f>VLOOKUP($I595,Prices!A:B,2,0)</f>
        <v>0</v>
      </c>
      <c r="K595" s="790">
        <f>VLOOKUP(I595,Prices!A:C,3,0)</f>
        <v>0</v>
      </c>
      <c r="L595" s="788">
        <v>18</v>
      </c>
      <c r="M595" s="927"/>
      <c r="N595" s="647">
        <f>VLOOKUP($I595,Prices!A:D,4,0)</f>
        <v>25</v>
      </c>
      <c r="O595" s="769">
        <f t="shared" si="38"/>
        <v>450</v>
      </c>
      <c r="P595" s="793" t="s">
        <v>194</v>
      </c>
      <c r="Q595" s="869"/>
      <c r="R595" s="869"/>
      <c r="S595" s="886"/>
      <c r="T595" s="870"/>
      <c r="U595" s="854"/>
      <c r="V595" s="890"/>
      <c r="W595" s="890"/>
      <c r="X595" s="880"/>
      <c r="Y595" s="878"/>
      <c r="Z595" s="852"/>
      <c r="AA595" s="894"/>
      <c r="AB595" s="775"/>
      <c r="AC595" s="775"/>
      <c r="AD595" s="775"/>
      <c r="AE595" s="775"/>
      <c r="AF595" s="775"/>
      <c r="AG595" s="775"/>
      <c r="AH595" s="775"/>
      <c r="AI595" s="775"/>
      <c r="AJ595" s="775"/>
      <c r="AK595" s="775"/>
      <c r="AL595" s="775"/>
      <c r="AM595" s="775"/>
      <c r="AN595" s="775"/>
      <c r="AO595" s="775"/>
      <c r="AP595" s="775"/>
    </row>
    <row r="596" spans="1:42" s="141" customFormat="1" ht="63">
      <c r="A596" s="775" t="s">
        <v>1712</v>
      </c>
      <c r="B596" s="775" t="s">
        <v>1702</v>
      </c>
      <c r="C596" s="780">
        <v>44633</v>
      </c>
      <c r="D596" s="775" t="s">
        <v>190</v>
      </c>
      <c r="E596" s="775" t="s">
        <v>191</v>
      </c>
      <c r="F596" s="773" t="s">
        <v>1713</v>
      </c>
      <c r="G596" s="777" t="s">
        <v>201</v>
      </c>
      <c r="H596" s="757" t="s">
        <v>194</v>
      </c>
      <c r="I596" s="775" t="s">
        <v>194</v>
      </c>
      <c r="J596" s="658" t="str">
        <f>VLOOKUP($I596,Prices!A:B,2,0)</f>
        <v>.</v>
      </c>
      <c r="K596" s="790" t="s">
        <v>194</v>
      </c>
      <c r="L596" s="788" t="s">
        <v>194</v>
      </c>
      <c r="M596" s="788" t="s">
        <v>194</v>
      </c>
      <c r="N596" s="715" t="str">
        <f>VLOOKUP($I596,Prices!A:D,4,0)</f>
        <v>.</v>
      </c>
      <c r="O596" s="769" t="s">
        <v>194</v>
      </c>
      <c r="P596" s="793" t="s">
        <v>194</v>
      </c>
      <c r="Q596" s="772" t="s">
        <v>194</v>
      </c>
      <c r="R596" s="772" t="s">
        <v>194</v>
      </c>
      <c r="S596" s="749" t="s">
        <v>194</v>
      </c>
      <c r="T596" s="757" t="s">
        <v>195</v>
      </c>
      <c r="U596" s="756" t="s">
        <v>1714</v>
      </c>
      <c r="V596" s="787" t="s">
        <v>194</v>
      </c>
      <c r="W596" s="787" t="s">
        <v>194</v>
      </c>
      <c r="X596" s="771" t="s">
        <v>194</v>
      </c>
      <c r="Y596" s="759"/>
      <c r="Z596" s="757">
        <v>0</v>
      </c>
      <c r="AA596" s="799" t="s">
        <v>194</v>
      </c>
      <c r="AB596" s="775"/>
      <c r="AC596" s="775"/>
      <c r="AD596" s="775"/>
      <c r="AE596" s="775"/>
      <c r="AF596" s="775"/>
      <c r="AG596" s="775"/>
      <c r="AH596" s="775"/>
      <c r="AI596" s="775"/>
      <c r="AJ596" s="775"/>
      <c r="AK596" s="775"/>
      <c r="AL596" s="775"/>
      <c r="AM596" s="775"/>
      <c r="AN596" s="775"/>
      <c r="AO596" s="775"/>
      <c r="AP596" s="775"/>
    </row>
    <row r="597" spans="1:42" s="141" customFormat="1" ht="78.75">
      <c r="A597" s="750" t="s">
        <v>1715</v>
      </c>
      <c r="B597" s="750" t="s">
        <v>1702</v>
      </c>
      <c r="C597" s="750" t="s">
        <v>1716</v>
      </c>
      <c r="D597" s="750" t="s">
        <v>190</v>
      </c>
      <c r="E597" s="750" t="s">
        <v>191</v>
      </c>
      <c r="F597" s="752" t="s">
        <v>1717</v>
      </c>
      <c r="G597" s="793" t="s">
        <v>201</v>
      </c>
      <c r="H597" s="754" t="s">
        <v>194</v>
      </c>
      <c r="I597" s="750" t="s">
        <v>194</v>
      </c>
      <c r="J597" s="658" t="str">
        <f>VLOOKUP($I597,Prices!A:B,2,0)</f>
        <v>.</v>
      </c>
      <c r="K597" s="790" t="s">
        <v>194</v>
      </c>
      <c r="L597" s="644" t="s">
        <v>194</v>
      </c>
      <c r="M597" s="644" t="s">
        <v>194</v>
      </c>
      <c r="N597" s="644" t="s">
        <v>194</v>
      </c>
      <c r="O597" s="769" t="s">
        <v>194</v>
      </c>
      <c r="P597" s="793" t="s">
        <v>194</v>
      </c>
      <c r="Q597" s="753" t="s">
        <v>1718</v>
      </c>
      <c r="R597" s="753" t="s">
        <v>194</v>
      </c>
      <c r="S597" s="755" t="s">
        <v>194</v>
      </c>
      <c r="T597" s="754" t="s">
        <v>195</v>
      </c>
      <c r="U597" s="756" t="s">
        <v>1719</v>
      </c>
      <c r="V597" s="752" t="s">
        <v>194</v>
      </c>
      <c r="W597" s="752" t="s">
        <v>194</v>
      </c>
      <c r="X597" s="814" t="s">
        <v>194</v>
      </c>
      <c r="Y597" s="754">
        <v>0</v>
      </c>
      <c r="Z597" s="754">
        <v>1</v>
      </c>
      <c r="AA597" s="823" t="s">
        <v>194</v>
      </c>
      <c r="AB597" s="820" t="s">
        <v>21</v>
      </c>
      <c r="AC597" s="820" t="s">
        <v>21</v>
      </c>
      <c r="AD597" s="820" t="s">
        <v>21</v>
      </c>
      <c r="AE597" s="820" t="s">
        <v>21</v>
      </c>
      <c r="AF597" s="820" t="s">
        <v>21</v>
      </c>
      <c r="AG597" s="820" t="s">
        <v>21</v>
      </c>
      <c r="AH597" s="820" t="s">
        <v>21</v>
      </c>
      <c r="AI597" s="820" t="s">
        <v>21</v>
      </c>
      <c r="AJ597" s="820" t="s">
        <v>21</v>
      </c>
      <c r="AK597" s="820" t="s">
        <v>21</v>
      </c>
      <c r="AL597" s="820" t="s">
        <v>21</v>
      </c>
      <c r="AM597" s="820" t="s">
        <v>21</v>
      </c>
      <c r="AN597" s="820" t="s">
        <v>21</v>
      </c>
      <c r="AO597" s="820" t="s">
        <v>21</v>
      </c>
      <c r="AP597" s="820" t="s">
        <v>21</v>
      </c>
    </row>
    <row r="598" spans="1:42" s="141" customFormat="1" ht="31.5">
      <c r="A598" s="750" t="s">
        <v>1720</v>
      </c>
      <c r="B598" s="750" t="s">
        <v>1721</v>
      </c>
      <c r="C598" s="751">
        <v>44673</v>
      </c>
      <c r="D598" s="750" t="s">
        <v>190</v>
      </c>
      <c r="E598" s="750" t="s">
        <v>276</v>
      </c>
      <c r="F598" s="752" t="s">
        <v>1722</v>
      </c>
      <c r="G598" s="793">
        <v>3000000</v>
      </c>
      <c r="H598" s="754" t="s">
        <v>260</v>
      </c>
      <c r="I598" s="750" t="s">
        <v>194</v>
      </c>
      <c r="J598" s="658" t="str">
        <f>VLOOKUP($I598,Prices!A:B,2,0)</f>
        <v>.</v>
      </c>
      <c r="K598" s="790" t="s">
        <v>194</v>
      </c>
      <c r="L598" s="644" t="s">
        <v>194</v>
      </c>
      <c r="M598" s="644" t="s">
        <v>194</v>
      </c>
      <c r="N598" s="644" t="s">
        <v>194</v>
      </c>
      <c r="O598" s="769" t="s">
        <v>194</v>
      </c>
      <c r="P598" s="793" t="s">
        <v>194</v>
      </c>
      <c r="Q598" s="753">
        <f>G598</f>
        <v>3000000</v>
      </c>
      <c r="R598" s="772">
        <f>Q598/VLOOKUP(H598, 'Currency Conversion'!B:C, 2, 0)</f>
        <v>2840909.0909090908</v>
      </c>
      <c r="S598" s="755" t="s">
        <v>194</v>
      </c>
      <c r="T598" s="754" t="s">
        <v>298</v>
      </c>
      <c r="U598" s="756" t="s">
        <v>1723</v>
      </c>
      <c r="V598" s="752" t="s">
        <v>194</v>
      </c>
      <c r="W598" s="752" t="s">
        <v>194</v>
      </c>
      <c r="X598" s="814" t="s">
        <v>194</v>
      </c>
      <c r="Y598" s="754">
        <v>0</v>
      </c>
      <c r="Z598" s="754">
        <v>1</v>
      </c>
      <c r="AA598" s="823" t="s">
        <v>194</v>
      </c>
      <c r="AB598" s="820" t="s">
        <v>21</v>
      </c>
      <c r="AC598" s="820" t="s">
        <v>21</v>
      </c>
      <c r="AD598" s="820" t="s">
        <v>21</v>
      </c>
      <c r="AE598" s="820" t="s">
        <v>21</v>
      </c>
      <c r="AF598" s="820" t="s">
        <v>21</v>
      </c>
      <c r="AG598" s="820" t="s">
        <v>21</v>
      </c>
      <c r="AH598" s="820" t="s">
        <v>21</v>
      </c>
      <c r="AI598" s="820" t="s">
        <v>21</v>
      </c>
      <c r="AJ598" s="820" t="s">
        <v>21</v>
      </c>
      <c r="AK598" s="820" t="s">
        <v>21</v>
      </c>
      <c r="AL598" s="820" t="s">
        <v>21</v>
      </c>
      <c r="AM598" s="820" t="s">
        <v>21</v>
      </c>
      <c r="AN598" s="820" t="s">
        <v>21</v>
      </c>
      <c r="AO598" s="820" t="s">
        <v>21</v>
      </c>
      <c r="AP598" s="820" t="s">
        <v>21</v>
      </c>
    </row>
    <row r="599" spans="1:42" s="141" customFormat="1" ht="31.5">
      <c r="A599" s="750" t="s">
        <v>1724</v>
      </c>
      <c r="B599" s="750" t="s">
        <v>1721</v>
      </c>
      <c r="C599" s="751">
        <v>44674</v>
      </c>
      <c r="D599" s="750" t="s">
        <v>190</v>
      </c>
      <c r="E599" s="750" t="s">
        <v>276</v>
      </c>
      <c r="F599" s="752" t="s">
        <v>1725</v>
      </c>
      <c r="G599" s="793">
        <v>5000000</v>
      </c>
      <c r="H599" s="754" t="s">
        <v>260</v>
      </c>
      <c r="I599" s="750" t="s">
        <v>194</v>
      </c>
      <c r="J599" s="658" t="str">
        <f>VLOOKUP($I599,Prices!A:B,2,0)</f>
        <v>.</v>
      </c>
      <c r="K599" s="790" t="s">
        <v>194</v>
      </c>
      <c r="L599" s="644" t="s">
        <v>194</v>
      </c>
      <c r="M599" s="644" t="s">
        <v>194</v>
      </c>
      <c r="N599" s="644" t="s">
        <v>194</v>
      </c>
      <c r="O599" s="769" t="s">
        <v>194</v>
      </c>
      <c r="P599" s="793" t="s">
        <v>194</v>
      </c>
      <c r="Q599" s="753">
        <f t="shared" ref="Q599:Q605" si="39">G599</f>
        <v>5000000</v>
      </c>
      <c r="R599" s="772">
        <f>Q599/VLOOKUP(H599, 'Currency Conversion'!B:C, 2, 0)</f>
        <v>4734848.4848484844</v>
      </c>
      <c r="S599" s="755" t="s">
        <v>194</v>
      </c>
      <c r="T599" s="754" t="s">
        <v>298</v>
      </c>
      <c r="U599" s="797" t="s">
        <v>1723</v>
      </c>
      <c r="V599" s="752" t="s">
        <v>194</v>
      </c>
      <c r="W599" s="752" t="s">
        <v>194</v>
      </c>
      <c r="X599" s="814" t="s">
        <v>194</v>
      </c>
      <c r="Y599" s="754">
        <v>0</v>
      </c>
      <c r="Z599" s="754">
        <v>1</v>
      </c>
      <c r="AA599" s="823" t="s">
        <v>194</v>
      </c>
      <c r="AB599" s="820" t="s">
        <v>21</v>
      </c>
      <c r="AC599" s="820" t="s">
        <v>21</v>
      </c>
      <c r="AD599" s="820" t="s">
        <v>21</v>
      </c>
      <c r="AE599" s="820" t="s">
        <v>21</v>
      </c>
      <c r="AF599" s="820" t="s">
        <v>21</v>
      </c>
      <c r="AG599" s="820" t="s">
        <v>21</v>
      </c>
      <c r="AH599" s="820" t="s">
        <v>21</v>
      </c>
      <c r="AI599" s="820" t="s">
        <v>21</v>
      </c>
      <c r="AJ599" s="820" t="s">
        <v>21</v>
      </c>
      <c r="AK599" s="820" t="s">
        <v>21</v>
      </c>
      <c r="AL599" s="820" t="s">
        <v>21</v>
      </c>
      <c r="AM599" s="820" t="s">
        <v>21</v>
      </c>
      <c r="AN599" s="820" t="s">
        <v>21</v>
      </c>
      <c r="AO599" s="820" t="s">
        <v>21</v>
      </c>
      <c r="AP599" s="820" t="s">
        <v>21</v>
      </c>
    </row>
    <row r="600" spans="1:42" s="141" customFormat="1" ht="31.5">
      <c r="A600" s="750" t="s">
        <v>1726</v>
      </c>
      <c r="B600" s="750" t="s">
        <v>1721</v>
      </c>
      <c r="C600" s="751">
        <v>44714</v>
      </c>
      <c r="D600" s="750" t="s">
        <v>190</v>
      </c>
      <c r="E600" s="750" t="s">
        <v>276</v>
      </c>
      <c r="F600" s="752" t="s">
        <v>1727</v>
      </c>
      <c r="G600" s="793">
        <v>2000000</v>
      </c>
      <c r="H600" s="754" t="s">
        <v>260</v>
      </c>
      <c r="I600" s="750" t="s">
        <v>194</v>
      </c>
      <c r="J600" s="658" t="str">
        <f>VLOOKUP($I600,Prices!A:B,2,0)</f>
        <v>.</v>
      </c>
      <c r="K600" s="790" t="s">
        <v>194</v>
      </c>
      <c r="L600" s="644" t="s">
        <v>194</v>
      </c>
      <c r="M600" s="644" t="s">
        <v>194</v>
      </c>
      <c r="N600" s="644" t="s">
        <v>194</v>
      </c>
      <c r="O600" s="769" t="s">
        <v>194</v>
      </c>
      <c r="P600" s="793" t="s">
        <v>194</v>
      </c>
      <c r="Q600" s="753">
        <f t="shared" si="39"/>
        <v>2000000</v>
      </c>
      <c r="R600" s="772">
        <f>Q600/VLOOKUP(H600, 'Currency Conversion'!B:C, 2, 0)</f>
        <v>1893939.3939393938</v>
      </c>
      <c r="S600" s="755" t="s">
        <v>194</v>
      </c>
      <c r="T600" s="754" t="s">
        <v>298</v>
      </c>
      <c r="U600" s="756" t="s">
        <v>1728</v>
      </c>
      <c r="V600" s="752" t="s">
        <v>194</v>
      </c>
      <c r="W600" s="752" t="s">
        <v>194</v>
      </c>
      <c r="X600" s="814" t="s">
        <v>194</v>
      </c>
      <c r="Y600" s="754">
        <v>0</v>
      </c>
      <c r="Z600" s="754">
        <v>1</v>
      </c>
      <c r="AA600" s="823" t="s">
        <v>194</v>
      </c>
      <c r="AB600" s="820" t="s">
        <v>21</v>
      </c>
      <c r="AC600" s="820" t="s">
        <v>21</v>
      </c>
      <c r="AD600" s="820" t="s">
        <v>21</v>
      </c>
      <c r="AE600" s="820" t="s">
        <v>21</v>
      </c>
      <c r="AF600" s="820" t="s">
        <v>21</v>
      </c>
      <c r="AG600" s="820" t="s">
        <v>21</v>
      </c>
      <c r="AH600" s="820" t="s">
        <v>21</v>
      </c>
      <c r="AI600" s="820" t="s">
        <v>21</v>
      </c>
      <c r="AJ600" s="820" t="s">
        <v>21</v>
      </c>
      <c r="AK600" s="820" t="s">
        <v>21</v>
      </c>
      <c r="AL600" s="820" t="s">
        <v>21</v>
      </c>
      <c r="AM600" s="820" t="s">
        <v>21</v>
      </c>
      <c r="AN600" s="820" t="s">
        <v>21</v>
      </c>
      <c r="AO600" s="820" t="s">
        <v>21</v>
      </c>
      <c r="AP600" s="820" t="s">
        <v>21</v>
      </c>
    </row>
    <row r="601" spans="1:42" s="141" customFormat="1" ht="31.5">
      <c r="A601" s="750" t="s">
        <v>1729</v>
      </c>
      <c r="B601" s="750" t="s">
        <v>1721</v>
      </c>
      <c r="C601" s="751">
        <v>44714</v>
      </c>
      <c r="D601" s="750" t="s">
        <v>190</v>
      </c>
      <c r="E601" s="750" t="s">
        <v>276</v>
      </c>
      <c r="F601" s="752" t="s">
        <v>1730</v>
      </c>
      <c r="G601" s="793">
        <v>500000</v>
      </c>
      <c r="H601" s="754" t="s">
        <v>260</v>
      </c>
      <c r="I601" s="750" t="s">
        <v>194</v>
      </c>
      <c r="J601" s="658" t="str">
        <f>VLOOKUP($I601,Prices!A:B,2,0)</f>
        <v>.</v>
      </c>
      <c r="K601" s="790" t="s">
        <v>194</v>
      </c>
      <c r="L601" s="644" t="s">
        <v>194</v>
      </c>
      <c r="M601" s="644" t="s">
        <v>194</v>
      </c>
      <c r="N601" s="644" t="s">
        <v>194</v>
      </c>
      <c r="O601" s="769" t="s">
        <v>194</v>
      </c>
      <c r="P601" s="793" t="s">
        <v>194</v>
      </c>
      <c r="Q601" s="753">
        <f t="shared" si="39"/>
        <v>500000</v>
      </c>
      <c r="R601" s="772">
        <f>Q601/VLOOKUP(H601, 'Currency Conversion'!B:C, 2, 0)</f>
        <v>473484.84848484845</v>
      </c>
      <c r="S601" s="755" t="s">
        <v>194</v>
      </c>
      <c r="T601" s="754" t="s">
        <v>298</v>
      </c>
      <c r="U601" s="756" t="s">
        <v>1728</v>
      </c>
      <c r="V601" s="752" t="s">
        <v>194</v>
      </c>
      <c r="W601" s="752" t="s">
        <v>194</v>
      </c>
      <c r="X601" s="814" t="s">
        <v>194</v>
      </c>
      <c r="Y601" s="754">
        <v>0</v>
      </c>
      <c r="Z601" s="754">
        <v>1</v>
      </c>
      <c r="AA601" s="823" t="s">
        <v>194</v>
      </c>
      <c r="AB601" s="820" t="s">
        <v>21</v>
      </c>
      <c r="AC601" s="820" t="s">
        <v>21</v>
      </c>
      <c r="AD601" s="820" t="s">
        <v>21</v>
      </c>
      <c r="AE601" s="820" t="s">
        <v>21</v>
      </c>
      <c r="AF601" s="820" t="s">
        <v>21</v>
      </c>
      <c r="AG601" s="820" t="s">
        <v>21</v>
      </c>
      <c r="AH601" s="820" t="s">
        <v>21</v>
      </c>
      <c r="AI601" s="820" t="s">
        <v>21</v>
      </c>
      <c r="AJ601" s="820" t="s">
        <v>21</v>
      </c>
      <c r="AK601" s="820" t="s">
        <v>21</v>
      </c>
      <c r="AL601" s="820" t="s">
        <v>21</v>
      </c>
      <c r="AM601" s="820" t="s">
        <v>21</v>
      </c>
      <c r="AN601" s="820" t="s">
        <v>21</v>
      </c>
      <c r="AO601" s="820" t="s">
        <v>21</v>
      </c>
      <c r="AP601" s="820" t="s">
        <v>21</v>
      </c>
    </row>
    <row r="602" spans="1:42" s="141" customFormat="1" ht="31.5">
      <c r="A602" s="750" t="s">
        <v>1731</v>
      </c>
      <c r="B602" s="750" t="s">
        <v>1721</v>
      </c>
      <c r="C602" s="751">
        <v>44714</v>
      </c>
      <c r="D602" s="750" t="s">
        <v>190</v>
      </c>
      <c r="E602" s="750" t="s">
        <v>276</v>
      </c>
      <c r="F602" s="752" t="s">
        <v>1732</v>
      </c>
      <c r="G602" s="793">
        <v>500000</v>
      </c>
      <c r="H602" s="754" t="s">
        <v>260</v>
      </c>
      <c r="I602" s="750" t="s">
        <v>194</v>
      </c>
      <c r="J602" s="658" t="str">
        <f>VLOOKUP($I602,Prices!A:B,2,0)</f>
        <v>.</v>
      </c>
      <c r="K602" s="790" t="s">
        <v>194</v>
      </c>
      <c r="L602" s="644" t="s">
        <v>194</v>
      </c>
      <c r="M602" s="644" t="s">
        <v>194</v>
      </c>
      <c r="N602" s="644" t="s">
        <v>194</v>
      </c>
      <c r="O602" s="769" t="s">
        <v>194</v>
      </c>
      <c r="P602" s="793" t="s">
        <v>194</v>
      </c>
      <c r="Q602" s="753">
        <f t="shared" si="39"/>
        <v>500000</v>
      </c>
      <c r="R602" s="772">
        <f>Q602/VLOOKUP(H602, 'Currency Conversion'!B:C, 2, 0)</f>
        <v>473484.84848484845</v>
      </c>
      <c r="S602" s="755" t="s">
        <v>194</v>
      </c>
      <c r="T602" s="754" t="s">
        <v>298</v>
      </c>
      <c r="U602" s="797" t="s">
        <v>1728</v>
      </c>
      <c r="V602" s="752" t="s">
        <v>194</v>
      </c>
      <c r="W602" s="752" t="s">
        <v>194</v>
      </c>
      <c r="X602" s="814" t="s">
        <v>194</v>
      </c>
      <c r="Y602" s="754">
        <v>0</v>
      </c>
      <c r="Z602" s="754">
        <v>1</v>
      </c>
      <c r="AA602" s="823" t="s">
        <v>194</v>
      </c>
      <c r="AB602" s="820" t="s">
        <v>21</v>
      </c>
      <c r="AC602" s="820" t="s">
        <v>21</v>
      </c>
      <c r="AD602" s="820" t="s">
        <v>21</v>
      </c>
      <c r="AE602" s="820" t="s">
        <v>21</v>
      </c>
      <c r="AF602" s="820" t="s">
        <v>21</v>
      </c>
      <c r="AG602" s="820" t="s">
        <v>21</v>
      </c>
      <c r="AH602" s="820" t="s">
        <v>21</v>
      </c>
      <c r="AI602" s="820" t="s">
        <v>21</v>
      </c>
      <c r="AJ602" s="820" t="s">
        <v>21</v>
      </c>
      <c r="AK602" s="820" t="s">
        <v>21</v>
      </c>
      <c r="AL602" s="820" t="s">
        <v>21</v>
      </c>
      <c r="AM602" s="820" t="s">
        <v>21</v>
      </c>
      <c r="AN602" s="820" t="s">
        <v>21</v>
      </c>
      <c r="AO602" s="820" t="s">
        <v>21</v>
      </c>
      <c r="AP602" s="820" t="s">
        <v>21</v>
      </c>
    </row>
    <row r="603" spans="1:42" s="141" customFormat="1" ht="31.5">
      <c r="A603" s="750" t="s">
        <v>1733</v>
      </c>
      <c r="B603" s="750" t="s">
        <v>1721</v>
      </c>
      <c r="C603" s="751">
        <v>44714</v>
      </c>
      <c r="D603" s="750" t="s">
        <v>190</v>
      </c>
      <c r="E603" s="750" t="s">
        <v>276</v>
      </c>
      <c r="F603" s="752" t="s">
        <v>1734</v>
      </c>
      <c r="G603" s="793">
        <v>500000</v>
      </c>
      <c r="H603" s="754" t="s">
        <v>260</v>
      </c>
      <c r="I603" s="750" t="s">
        <v>194</v>
      </c>
      <c r="J603" s="658" t="str">
        <f>VLOOKUP($I603,Prices!A:B,2,0)</f>
        <v>.</v>
      </c>
      <c r="K603" s="790" t="s">
        <v>194</v>
      </c>
      <c r="L603" s="644" t="s">
        <v>194</v>
      </c>
      <c r="M603" s="644" t="s">
        <v>194</v>
      </c>
      <c r="N603" s="644" t="s">
        <v>194</v>
      </c>
      <c r="O603" s="769" t="s">
        <v>194</v>
      </c>
      <c r="P603" s="793" t="s">
        <v>194</v>
      </c>
      <c r="Q603" s="753">
        <f t="shared" si="39"/>
        <v>500000</v>
      </c>
      <c r="R603" s="772">
        <f>Q603/VLOOKUP(H603, 'Currency Conversion'!B:C, 2, 0)</f>
        <v>473484.84848484845</v>
      </c>
      <c r="S603" s="755" t="s">
        <v>194</v>
      </c>
      <c r="T603" s="754" t="s">
        <v>298</v>
      </c>
      <c r="U603" s="756" t="s">
        <v>1728</v>
      </c>
      <c r="V603" s="752" t="s">
        <v>194</v>
      </c>
      <c r="W603" s="752" t="s">
        <v>194</v>
      </c>
      <c r="X603" s="814" t="s">
        <v>194</v>
      </c>
      <c r="Y603" s="754">
        <v>0</v>
      </c>
      <c r="Z603" s="754">
        <v>1</v>
      </c>
      <c r="AA603" s="823" t="s">
        <v>194</v>
      </c>
      <c r="AB603" s="820" t="s">
        <v>21</v>
      </c>
      <c r="AC603" s="820" t="s">
        <v>21</v>
      </c>
      <c r="AD603" s="820" t="s">
        <v>21</v>
      </c>
      <c r="AE603" s="820" t="s">
        <v>21</v>
      </c>
      <c r="AF603" s="820" t="s">
        <v>21</v>
      </c>
      <c r="AG603" s="820" t="s">
        <v>21</v>
      </c>
      <c r="AH603" s="820" t="s">
        <v>21</v>
      </c>
      <c r="AI603" s="820" t="s">
        <v>21</v>
      </c>
      <c r="AJ603" s="820" t="s">
        <v>21</v>
      </c>
      <c r="AK603" s="820" t="s">
        <v>21</v>
      </c>
      <c r="AL603" s="820" t="s">
        <v>21</v>
      </c>
      <c r="AM603" s="820" t="s">
        <v>21</v>
      </c>
      <c r="AN603" s="820" t="s">
        <v>21</v>
      </c>
      <c r="AO603" s="820" t="s">
        <v>21</v>
      </c>
      <c r="AP603" s="820" t="s">
        <v>21</v>
      </c>
    </row>
    <row r="604" spans="1:42" s="141" customFormat="1" ht="31.5">
      <c r="A604" s="750" t="s">
        <v>1735</v>
      </c>
      <c r="B604" s="750" t="s">
        <v>1721</v>
      </c>
      <c r="C604" s="751">
        <v>44714</v>
      </c>
      <c r="D604" s="750" t="s">
        <v>190</v>
      </c>
      <c r="E604" s="750" t="s">
        <v>276</v>
      </c>
      <c r="F604" s="752" t="s">
        <v>1736</v>
      </c>
      <c r="G604" s="793">
        <v>500000</v>
      </c>
      <c r="H604" s="754" t="s">
        <v>260</v>
      </c>
      <c r="I604" s="750" t="s">
        <v>194</v>
      </c>
      <c r="J604" s="658" t="str">
        <f>VLOOKUP($I604,Prices!A:B,2,0)</f>
        <v>.</v>
      </c>
      <c r="K604" s="790" t="s">
        <v>194</v>
      </c>
      <c r="L604" s="644" t="s">
        <v>194</v>
      </c>
      <c r="M604" s="644" t="s">
        <v>194</v>
      </c>
      <c r="N604" s="644" t="s">
        <v>194</v>
      </c>
      <c r="O604" s="769" t="s">
        <v>194</v>
      </c>
      <c r="P604" s="793" t="s">
        <v>194</v>
      </c>
      <c r="Q604" s="753">
        <f t="shared" si="39"/>
        <v>500000</v>
      </c>
      <c r="R604" s="772">
        <f>Q604/VLOOKUP(H604, 'Currency Conversion'!B:C, 2, 0)</f>
        <v>473484.84848484845</v>
      </c>
      <c r="S604" s="755" t="s">
        <v>194</v>
      </c>
      <c r="T604" s="754" t="s">
        <v>298</v>
      </c>
      <c r="U604" s="756" t="s">
        <v>1728</v>
      </c>
      <c r="V604" s="752" t="s">
        <v>194</v>
      </c>
      <c r="W604" s="752" t="s">
        <v>194</v>
      </c>
      <c r="X604" s="814" t="s">
        <v>194</v>
      </c>
      <c r="Y604" s="754">
        <v>0</v>
      </c>
      <c r="Z604" s="754">
        <v>1</v>
      </c>
      <c r="AA604" s="823" t="s">
        <v>194</v>
      </c>
      <c r="AB604" s="820" t="s">
        <v>21</v>
      </c>
      <c r="AC604" s="820" t="s">
        <v>21</v>
      </c>
      <c r="AD604" s="820" t="s">
        <v>21</v>
      </c>
      <c r="AE604" s="820" t="s">
        <v>21</v>
      </c>
      <c r="AF604" s="820" t="s">
        <v>21</v>
      </c>
      <c r="AG604" s="820" t="s">
        <v>21</v>
      </c>
      <c r="AH604" s="820" t="s">
        <v>21</v>
      </c>
      <c r="AI604" s="820" t="s">
        <v>21</v>
      </c>
      <c r="AJ604" s="820" t="s">
        <v>21</v>
      </c>
      <c r="AK604" s="820" t="s">
        <v>21</v>
      </c>
      <c r="AL604" s="820" t="s">
        <v>21</v>
      </c>
      <c r="AM604" s="820" t="s">
        <v>21</v>
      </c>
      <c r="AN604" s="820" t="s">
        <v>21</v>
      </c>
      <c r="AO604" s="820" t="s">
        <v>21</v>
      </c>
      <c r="AP604" s="820" t="s">
        <v>21</v>
      </c>
    </row>
    <row r="605" spans="1:42" s="141" customFormat="1" ht="33.75" customHeight="1">
      <c r="A605" s="750" t="s">
        <v>1737</v>
      </c>
      <c r="B605" s="750" t="s">
        <v>1721</v>
      </c>
      <c r="C605" s="751">
        <v>44732</v>
      </c>
      <c r="D605" s="750" t="s">
        <v>190</v>
      </c>
      <c r="E605" s="750" t="s">
        <v>276</v>
      </c>
      <c r="F605" s="752" t="s">
        <v>1738</v>
      </c>
      <c r="G605" s="793">
        <v>500000</v>
      </c>
      <c r="H605" s="754" t="s">
        <v>260</v>
      </c>
      <c r="I605" s="750" t="s">
        <v>194</v>
      </c>
      <c r="J605" s="658" t="str">
        <f>VLOOKUP($I605,Prices!A:B,2,0)</f>
        <v>.</v>
      </c>
      <c r="K605" s="790" t="s">
        <v>194</v>
      </c>
      <c r="L605" s="644" t="s">
        <v>194</v>
      </c>
      <c r="M605" s="644" t="s">
        <v>194</v>
      </c>
      <c r="N605" s="644" t="s">
        <v>194</v>
      </c>
      <c r="O605" s="769" t="s">
        <v>194</v>
      </c>
      <c r="P605" s="793" t="s">
        <v>194</v>
      </c>
      <c r="Q605" s="753">
        <f t="shared" si="39"/>
        <v>500000</v>
      </c>
      <c r="R605" s="772">
        <f>Q605/VLOOKUP(H605, 'Currency Conversion'!B:C, 2, 0)</f>
        <v>473484.84848484845</v>
      </c>
      <c r="S605" s="755" t="s">
        <v>194</v>
      </c>
      <c r="T605" s="754" t="s">
        <v>298</v>
      </c>
      <c r="U605" s="756" t="s">
        <v>1739</v>
      </c>
      <c r="V605" s="752" t="s">
        <v>194</v>
      </c>
      <c r="W605" s="752" t="s">
        <v>194</v>
      </c>
      <c r="X605" s="814" t="s">
        <v>194</v>
      </c>
      <c r="Y605" s="754">
        <v>0</v>
      </c>
      <c r="Z605" s="754">
        <v>1</v>
      </c>
      <c r="AA605" s="823" t="s">
        <v>194</v>
      </c>
      <c r="AB605" s="820" t="s">
        <v>21</v>
      </c>
      <c r="AC605" s="820" t="s">
        <v>21</v>
      </c>
      <c r="AD605" s="820" t="s">
        <v>21</v>
      </c>
      <c r="AE605" s="820" t="s">
        <v>21</v>
      </c>
      <c r="AF605" s="820" t="s">
        <v>21</v>
      </c>
      <c r="AG605" s="820" t="s">
        <v>21</v>
      </c>
      <c r="AH605" s="820" t="s">
        <v>21</v>
      </c>
      <c r="AI605" s="820" t="s">
        <v>21</v>
      </c>
      <c r="AJ605" s="820" t="s">
        <v>21</v>
      </c>
      <c r="AK605" s="820" t="s">
        <v>21</v>
      </c>
      <c r="AL605" s="820" t="s">
        <v>21</v>
      </c>
      <c r="AM605" s="820" t="s">
        <v>21</v>
      </c>
      <c r="AN605" s="820" t="s">
        <v>21</v>
      </c>
      <c r="AO605" s="820" t="s">
        <v>21</v>
      </c>
      <c r="AP605" s="820" t="s">
        <v>21</v>
      </c>
    </row>
    <row r="606" spans="1:42" s="141" customFormat="1" ht="65.25" customHeight="1">
      <c r="A606" s="775" t="s">
        <v>1740</v>
      </c>
      <c r="B606" s="775" t="s">
        <v>1741</v>
      </c>
      <c r="C606" s="780">
        <v>44619</v>
      </c>
      <c r="D606" s="775" t="s">
        <v>190</v>
      </c>
      <c r="E606" s="775" t="s">
        <v>375</v>
      </c>
      <c r="F606" s="773" t="s">
        <v>1742</v>
      </c>
      <c r="G606" s="772">
        <v>40000000</v>
      </c>
      <c r="H606" s="757" t="s">
        <v>1743</v>
      </c>
      <c r="I606" s="775" t="s">
        <v>194</v>
      </c>
      <c r="J606" s="658" t="str">
        <f>VLOOKUP($I606,Prices!A:B,2,0)</f>
        <v>.</v>
      </c>
      <c r="K606" s="790" t="s">
        <v>194</v>
      </c>
      <c r="L606" s="788" t="s">
        <v>194</v>
      </c>
      <c r="M606" s="788" t="s">
        <v>194</v>
      </c>
      <c r="N606" s="647" t="str">
        <f>VLOOKUP($I606,Prices!A:D,4,0)</f>
        <v>.</v>
      </c>
      <c r="O606" s="769" t="s">
        <v>194</v>
      </c>
      <c r="P606" s="793" t="s">
        <v>194</v>
      </c>
      <c r="Q606" s="772">
        <f>G606</f>
        <v>40000000</v>
      </c>
      <c r="R606" s="772">
        <f>Q606/VLOOKUP(H606, 'Currency Conversion'!B:C, 2, 0)</f>
        <v>46621133.359751977</v>
      </c>
      <c r="S606" s="749" t="s">
        <v>194</v>
      </c>
      <c r="T606" s="757" t="s">
        <v>298</v>
      </c>
      <c r="U606" s="756" t="s">
        <v>1744</v>
      </c>
      <c r="V606" s="773" t="s">
        <v>194</v>
      </c>
      <c r="W606" s="773" t="s">
        <v>194</v>
      </c>
      <c r="X606" s="784" t="s">
        <v>194</v>
      </c>
      <c r="Y606" s="759">
        <v>0</v>
      </c>
      <c r="Z606" s="757">
        <v>0</v>
      </c>
      <c r="AA606" s="799" t="s">
        <v>194</v>
      </c>
      <c r="AB606" s="775"/>
      <c r="AC606" s="775"/>
      <c r="AD606" s="775"/>
      <c r="AE606" s="775"/>
      <c r="AF606" s="775"/>
      <c r="AG606" s="775"/>
      <c r="AH606" s="775"/>
      <c r="AI606" s="775"/>
      <c r="AJ606" s="775"/>
      <c r="AK606" s="775"/>
      <c r="AL606" s="775"/>
      <c r="AM606" s="775"/>
      <c r="AN606" s="775"/>
      <c r="AO606" s="775"/>
      <c r="AP606" s="775"/>
    </row>
    <row r="607" spans="1:42" s="141" customFormat="1" ht="92.25" customHeight="1">
      <c r="A607" s="775" t="s">
        <v>1745</v>
      </c>
      <c r="B607" s="775" t="s">
        <v>1741</v>
      </c>
      <c r="C607" s="780">
        <v>44621</v>
      </c>
      <c r="D607" s="775" t="s">
        <v>190</v>
      </c>
      <c r="E607" s="775" t="s">
        <v>375</v>
      </c>
      <c r="F607" s="773" t="s">
        <v>1746</v>
      </c>
      <c r="G607" s="772">
        <v>40000000</v>
      </c>
      <c r="H607" s="757" t="s">
        <v>1743</v>
      </c>
      <c r="I607" s="775" t="s">
        <v>194</v>
      </c>
      <c r="J607" s="658" t="str">
        <f>VLOOKUP($I607,Prices!A:B,2,0)</f>
        <v>.</v>
      </c>
      <c r="K607" s="790" t="s">
        <v>194</v>
      </c>
      <c r="L607" s="788" t="s">
        <v>194</v>
      </c>
      <c r="M607" s="788" t="s">
        <v>194</v>
      </c>
      <c r="N607" s="708" t="str">
        <f>VLOOKUP($I607,Prices!A:D,4,0)</f>
        <v>.</v>
      </c>
      <c r="O607" s="769" t="s">
        <v>194</v>
      </c>
      <c r="P607" s="793" t="s">
        <v>194</v>
      </c>
      <c r="Q607" s="772">
        <f t="shared" ref="Q607:Q608" si="40">G607</f>
        <v>40000000</v>
      </c>
      <c r="R607" s="772">
        <f>Q607/VLOOKUP(H607, 'Currency Conversion'!B:C, 2, 0)</f>
        <v>46621133.359751977</v>
      </c>
      <c r="S607" s="749" t="s">
        <v>194</v>
      </c>
      <c r="T607" s="757" t="s">
        <v>298</v>
      </c>
      <c r="U607" s="756" t="s">
        <v>1747</v>
      </c>
      <c r="V607" s="756" t="s">
        <v>1748</v>
      </c>
      <c r="W607" s="756" t="s">
        <v>1749</v>
      </c>
      <c r="X607" s="771" t="s">
        <v>194</v>
      </c>
      <c r="Y607" s="759">
        <v>0</v>
      </c>
      <c r="Z607" s="757">
        <v>0</v>
      </c>
      <c r="AA607" s="799" t="s">
        <v>194</v>
      </c>
      <c r="AB607" s="775"/>
      <c r="AC607" s="775"/>
      <c r="AD607" s="775"/>
      <c r="AE607" s="775"/>
      <c r="AF607" s="775"/>
      <c r="AG607" s="775"/>
      <c r="AH607" s="775"/>
      <c r="AI607" s="775"/>
      <c r="AJ607" s="775"/>
      <c r="AK607" s="775"/>
      <c r="AL607" s="775"/>
      <c r="AM607" s="775"/>
      <c r="AN607" s="775"/>
      <c r="AO607" s="775"/>
      <c r="AP607" s="775"/>
    </row>
    <row r="608" spans="1:42" s="141" customFormat="1" ht="58.5" customHeight="1">
      <c r="A608" s="775" t="s">
        <v>1750</v>
      </c>
      <c r="B608" s="775" t="s">
        <v>1741</v>
      </c>
      <c r="C608" s="780">
        <v>44627</v>
      </c>
      <c r="D608" s="775" t="s">
        <v>190</v>
      </c>
      <c r="E608" s="775" t="s">
        <v>375</v>
      </c>
      <c r="F608" s="773" t="s">
        <v>1751</v>
      </c>
      <c r="G608" s="772">
        <v>230000000</v>
      </c>
      <c r="H608" s="757" t="s">
        <v>1743</v>
      </c>
      <c r="I608" s="775" t="s">
        <v>194</v>
      </c>
      <c r="J608" s="658" t="str">
        <f>VLOOKUP($I608,Prices!A:B,2,0)</f>
        <v>.</v>
      </c>
      <c r="K608" s="790" t="s">
        <v>194</v>
      </c>
      <c r="L608" s="788" t="s">
        <v>194</v>
      </c>
      <c r="M608" s="788" t="s">
        <v>194</v>
      </c>
      <c r="N608" s="647" t="str">
        <f>VLOOKUP($I608,Prices!A:D,4,0)</f>
        <v>.</v>
      </c>
      <c r="O608" s="769" t="s">
        <v>194</v>
      </c>
      <c r="P608" s="793" t="s">
        <v>194</v>
      </c>
      <c r="Q608" s="772">
        <f t="shared" si="40"/>
        <v>230000000</v>
      </c>
      <c r="R608" s="772">
        <f>Q608/VLOOKUP(H608, 'Currency Conversion'!B:C, 2, 0)</f>
        <v>268071516.81857386</v>
      </c>
      <c r="S608" s="749" t="s">
        <v>194</v>
      </c>
      <c r="T608" s="757" t="s">
        <v>298</v>
      </c>
      <c r="U608" s="756" t="s">
        <v>1752</v>
      </c>
      <c r="V608" s="765" t="s">
        <v>194</v>
      </c>
      <c r="W608" s="765" t="s">
        <v>194</v>
      </c>
      <c r="X608" s="784" t="s">
        <v>194</v>
      </c>
      <c r="Y608" s="759">
        <v>0</v>
      </c>
      <c r="Z608" s="757">
        <v>0</v>
      </c>
      <c r="AA608" s="799" t="s">
        <v>194</v>
      </c>
      <c r="AB608" s="775"/>
      <c r="AC608" s="775"/>
      <c r="AD608" s="775"/>
      <c r="AE608" s="775"/>
      <c r="AF608" s="775"/>
      <c r="AG608" s="775"/>
      <c r="AH608" s="775"/>
      <c r="AI608" s="775"/>
      <c r="AJ608" s="775"/>
      <c r="AK608" s="775"/>
      <c r="AL608" s="775"/>
      <c r="AM608" s="775"/>
      <c r="AN608" s="775"/>
      <c r="AO608" s="775"/>
      <c r="AP608" s="775"/>
    </row>
    <row r="609" spans="1:42" s="141" customFormat="1" ht="60" customHeight="1">
      <c r="A609" s="775" t="s">
        <v>1753</v>
      </c>
      <c r="B609" s="775" t="s">
        <v>1741</v>
      </c>
      <c r="C609" s="780">
        <v>44656</v>
      </c>
      <c r="D609" s="775" t="s">
        <v>190</v>
      </c>
      <c r="E609" s="775" t="s">
        <v>191</v>
      </c>
      <c r="F609" s="773" t="s">
        <v>1754</v>
      </c>
      <c r="G609" s="772">
        <v>10000000</v>
      </c>
      <c r="H609" s="757" t="s">
        <v>1743</v>
      </c>
      <c r="I609" s="775" t="s">
        <v>194</v>
      </c>
      <c r="J609" s="658" t="str">
        <f>VLOOKUP($I609,Prices!A:B,2,0)</f>
        <v>.</v>
      </c>
      <c r="K609" s="790" t="s">
        <v>194</v>
      </c>
      <c r="L609" s="788" t="s">
        <v>194</v>
      </c>
      <c r="M609" s="788" t="s">
        <v>194</v>
      </c>
      <c r="N609" s="708" t="str">
        <f>VLOOKUP($I609,Prices!A:D,4,0)</f>
        <v>.</v>
      </c>
      <c r="O609" s="769" t="s">
        <v>194</v>
      </c>
      <c r="P609" s="793" t="s">
        <v>194</v>
      </c>
      <c r="Q609" s="772">
        <f>G609</f>
        <v>10000000</v>
      </c>
      <c r="R609" s="772">
        <f>Q609/VLOOKUP(H609, 'Currency Conversion'!B:C, 2, 0)</f>
        <v>11655283.339937994</v>
      </c>
      <c r="S609" s="749" t="s">
        <v>194</v>
      </c>
      <c r="T609" s="757" t="s">
        <v>195</v>
      </c>
      <c r="U609" s="756" t="s">
        <v>1755</v>
      </c>
      <c r="V609" s="756" t="s">
        <v>1756</v>
      </c>
      <c r="W609" s="765" t="s">
        <v>194</v>
      </c>
      <c r="X609" s="771" t="s">
        <v>194</v>
      </c>
      <c r="Y609" s="759">
        <v>0</v>
      </c>
      <c r="Z609" s="757">
        <v>0</v>
      </c>
      <c r="AA609" s="799" t="s">
        <v>194</v>
      </c>
      <c r="AB609" s="775"/>
      <c r="AC609" s="775"/>
      <c r="AD609" s="775"/>
      <c r="AE609" s="775"/>
      <c r="AF609" s="775"/>
      <c r="AG609" s="775"/>
      <c r="AH609" s="775"/>
      <c r="AI609" s="775"/>
      <c r="AJ609" s="775"/>
      <c r="AK609" s="775"/>
      <c r="AL609" s="775"/>
      <c r="AM609" s="775"/>
      <c r="AN609" s="775"/>
      <c r="AO609" s="775"/>
      <c r="AP609" s="775"/>
    </row>
    <row r="610" spans="1:42" s="141" customFormat="1" ht="106.5" customHeight="1">
      <c r="A610" s="775" t="s">
        <v>1757</v>
      </c>
      <c r="B610" s="775" t="s">
        <v>1741</v>
      </c>
      <c r="C610" s="780">
        <v>44593</v>
      </c>
      <c r="D610" s="775" t="s">
        <v>212</v>
      </c>
      <c r="E610" s="775" t="s">
        <v>320</v>
      </c>
      <c r="F610" s="773" t="s">
        <v>1758</v>
      </c>
      <c r="G610" s="777" t="s">
        <v>201</v>
      </c>
      <c r="H610" s="757" t="s">
        <v>260</v>
      </c>
      <c r="I610" s="775" t="s">
        <v>1193</v>
      </c>
      <c r="J610" s="658">
        <f>VLOOKUP($I610,Prices!A:B,2,0)</f>
        <v>3</v>
      </c>
      <c r="K610" s="790">
        <f>VLOOKUP(I610,Prices!A:C,3,0)</f>
        <v>0</v>
      </c>
      <c r="L610" s="788">
        <v>2000</v>
      </c>
      <c r="M610" s="788">
        <v>2000</v>
      </c>
      <c r="N610" s="647">
        <f>VLOOKUP($I610,Prices!A:D,4,0)</f>
        <v>33000</v>
      </c>
      <c r="O610" s="769">
        <f t="shared" si="38"/>
        <v>66000000</v>
      </c>
      <c r="P610" s="793">
        <f t="shared" ref="P610:P630" si="41">$M610*$N610</f>
        <v>66000000</v>
      </c>
      <c r="Q610" s="772">
        <f>O610</f>
        <v>66000000</v>
      </c>
      <c r="R610" s="772">
        <f>Q610/VLOOKUP(H610, 'Currency Conversion'!B:C, 2, 0)</f>
        <v>62500000</v>
      </c>
      <c r="S610" s="749">
        <f>R610</f>
        <v>62500000</v>
      </c>
      <c r="T610" s="759" t="s">
        <v>195</v>
      </c>
      <c r="U610" s="756" t="s">
        <v>1759</v>
      </c>
      <c r="V610" s="756" t="s">
        <v>1760</v>
      </c>
      <c r="W610" s="765" t="s">
        <v>194</v>
      </c>
      <c r="X610" s="784" t="s">
        <v>194</v>
      </c>
      <c r="Y610" s="759">
        <v>0</v>
      </c>
      <c r="Z610" s="761">
        <v>0</v>
      </c>
      <c r="AA610" s="762" t="s">
        <v>1761</v>
      </c>
      <c r="AB610" s="775"/>
      <c r="AC610" s="775"/>
      <c r="AD610" s="775"/>
      <c r="AE610" s="775"/>
      <c r="AF610" s="775"/>
      <c r="AG610" s="775"/>
      <c r="AH610" s="775"/>
      <c r="AI610" s="775"/>
      <c r="AJ610" s="775"/>
      <c r="AK610" s="775"/>
      <c r="AL610" s="775"/>
      <c r="AM610" s="775"/>
      <c r="AN610" s="775"/>
      <c r="AO610" s="775"/>
      <c r="AP610" s="775"/>
    </row>
    <row r="611" spans="1:42" s="141" customFormat="1" ht="30.95" customHeight="1">
      <c r="A611" s="775" t="s">
        <v>1762</v>
      </c>
      <c r="B611" s="775" t="s">
        <v>1741</v>
      </c>
      <c r="C611" s="780" t="s">
        <v>1763</v>
      </c>
      <c r="D611" s="775" t="s">
        <v>212</v>
      </c>
      <c r="E611" s="775" t="s">
        <v>320</v>
      </c>
      <c r="F611" s="773" t="s">
        <v>1764</v>
      </c>
      <c r="G611" s="777" t="s">
        <v>201</v>
      </c>
      <c r="H611" s="757" t="s">
        <v>260</v>
      </c>
      <c r="I611" s="775" t="s">
        <v>1193</v>
      </c>
      <c r="J611" s="658">
        <f>VLOOKUP($I611,Prices!A:B,2,0)</f>
        <v>3</v>
      </c>
      <c r="K611" s="790">
        <f>VLOOKUP(I611,Prices!A:C,3,0)</f>
        <v>0</v>
      </c>
      <c r="L611" s="788">
        <v>3165</v>
      </c>
      <c r="M611" s="788">
        <v>3165</v>
      </c>
      <c r="N611" s="708">
        <f>VLOOKUP($I611,Prices!A:D,4,0)</f>
        <v>33000</v>
      </c>
      <c r="O611" s="769">
        <f t="shared" si="38"/>
        <v>104445000</v>
      </c>
      <c r="P611" s="793">
        <f t="shared" si="41"/>
        <v>104445000</v>
      </c>
      <c r="Q611" s="772">
        <f>O611</f>
        <v>104445000</v>
      </c>
      <c r="R611" s="772">
        <f>Q611/VLOOKUP(H611, 'Currency Conversion'!B:C, 2, 0)</f>
        <v>98906250</v>
      </c>
      <c r="S611" s="749">
        <f>R611</f>
        <v>98906250</v>
      </c>
      <c r="T611" s="757" t="s">
        <v>298</v>
      </c>
      <c r="U611" s="756" t="s">
        <v>1765</v>
      </c>
      <c r="V611" s="765" t="s">
        <v>194</v>
      </c>
      <c r="W611" s="765" t="s">
        <v>194</v>
      </c>
      <c r="X611" s="771" t="s">
        <v>194</v>
      </c>
      <c r="Y611" s="759">
        <v>0</v>
      </c>
      <c r="Z611" s="761">
        <v>0</v>
      </c>
      <c r="AA611" s="762" t="s">
        <v>1761</v>
      </c>
      <c r="AB611" s="775"/>
      <c r="AC611" s="775"/>
      <c r="AD611" s="775"/>
      <c r="AE611" s="775"/>
      <c r="AF611" s="775"/>
      <c r="AG611" s="775"/>
      <c r="AH611" s="775"/>
      <c r="AI611" s="775"/>
      <c r="AJ611" s="775"/>
      <c r="AK611" s="775"/>
      <c r="AL611" s="775"/>
      <c r="AM611" s="775"/>
      <c r="AN611" s="775"/>
      <c r="AO611" s="775"/>
      <c r="AP611" s="775"/>
    </row>
    <row r="612" spans="1:42" s="141" customFormat="1" ht="94.5">
      <c r="A612" s="775" t="s">
        <v>1766</v>
      </c>
      <c r="B612" s="775" t="s">
        <v>1741</v>
      </c>
      <c r="C612" s="780">
        <v>44629</v>
      </c>
      <c r="D612" s="775" t="s">
        <v>212</v>
      </c>
      <c r="E612" s="775" t="s">
        <v>320</v>
      </c>
      <c r="F612" s="773" t="s">
        <v>1767</v>
      </c>
      <c r="G612" s="777" t="s">
        <v>201</v>
      </c>
      <c r="H612" s="757" t="s">
        <v>194</v>
      </c>
      <c r="I612" s="775" t="s">
        <v>1768</v>
      </c>
      <c r="J612" s="658">
        <f>VLOOKUP($I612,Prices!A:B,2,0)</f>
        <v>3</v>
      </c>
      <c r="K612" s="790">
        <f>VLOOKUP(I612,Prices!A:C,3,0)</f>
        <v>0</v>
      </c>
      <c r="L612" s="788" t="s">
        <v>224</v>
      </c>
      <c r="M612" s="788" t="s">
        <v>224</v>
      </c>
      <c r="N612" s="647">
        <f>VLOOKUP($I612,Prices!A:D,4,0)</f>
        <v>137238</v>
      </c>
      <c r="O612" s="769" t="s">
        <v>194</v>
      </c>
      <c r="P612" s="793" t="s">
        <v>194</v>
      </c>
      <c r="Q612" s="772" t="s">
        <v>194</v>
      </c>
      <c r="R612" s="772" t="s">
        <v>194</v>
      </c>
      <c r="S612" s="749" t="s">
        <v>194</v>
      </c>
      <c r="T612" s="757" t="s">
        <v>298</v>
      </c>
      <c r="U612" s="756" t="s">
        <v>1769</v>
      </c>
      <c r="V612" s="756" t="s">
        <v>1770</v>
      </c>
      <c r="W612" s="765" t="s">
        <v>194</v>
      </c>
      <c r="X612" s="784" t="s">
        <v>194</v>
      </c>
      <c r="Y612" s="759">
        <v>0</v>
      </c>
      <c r="Z612" s="761">
        <v>0</v>
      </c>
      <c r="AA612" s="762" t="s">
        <v>1771</v>
      </c>
      <c r="AB612" s="775"/>
      <c r="AC612" s="775"/>
      <c r="AD612" s="775"/>
      <c r="AE612" s="775"/>
      <c r="AF612" s="775"/>
      <c r="AG612" s="775"/>
      <c r="AH612" s="775"/>
      <c r="AI612" s="775"/>
      <c r="AJ612" s="775"/>
      <c r="AK612" s="775"/>
      <c r="AL612" s="775"/>
      <c r="AM612" s="775"/>
      <c r="AN612" s="775"/>
      <c r="AO612" s="775"/>
      <c r="AP612" s="775"/>
    </row>
    <row r="613" spans="1:42" s="141" customFormat="1" ht="57" customHeight="1">
      <c r="A613" s="775" t="s">
        <v>1772</v>
      </c>
      <c r="B613" s="775" t="s">
        <v>1741</v>
      </c>
      <c r="C613" s="780">
        <v>44643</v>
      </c>
      <c r="D613" s="775" t="s">
        <v>212</v>
      </c>
      <c r="E613" s="775" t="s">
        <v>320</v>
      </c>
      <c r="F613" s="773" t="s">
        <v>1773</v>
      </c>
      <c r="G613" s="777" t="s">
        <v>201</v>
      </c>
      <c r="H613" s="757" t="s">
        <v>260</v>
      </c>
      <c r="I613" s="775" t="s">
        <v>1774</v>
      </c>
      <c r="J613" s="658">
        <f>VLOOKUP($I613,Prices!A:B,2,0)</f>
        <v>3.5</v>
      </c>
      <c r="K613" s="790">
        <f>VLOOKUP(I613,Prices!A:C,3,0)</f>
        <v>0</v>
      </c>
      <c r="L613" s="788">
        <v>6000</v>
      </c>
      <c r="M613" s="788"/>
      <c r="N613" s="707">
        <f>VLOOKUP($I613,Prices!A:D,4,0)</f>
        <v>20000</v>
      </c>
      <c r="O613" s="769">
        <f t="shared" si="38"/>
        <v>120000000</v>
      </c>
      <c r="P613" s="793" t="s">
        <v>194</v>
      </c>
      <c r="Q613" s="772">
        <f>O613</f>
        <v>120000000</v>
      </c>
      <c r="R613" s="772">
        <f>Q613/VLOOKUP(H613, 'Currency Conversion'!B:C, 2, 0)</f>
        <v>113636363.63636363</v>
      </c>
      <c r="S613" s="749" t="s">
        <v>194</v>
      </c>
      <c r="T613" s="757" t="s">
        <v>298</v>
      </c>
      <c r="U613" s="756" t="s">
        <v>1775</v>
      </c>
      <c r="V613" s="756" t="s">
        <v>1776</v>
      </c>
      <c r="W613" s="765" t="s">
        <v>194</v>
      </c>
      <c r="X613" s="771" t="s">
        <v>194</v>
      </c>
      <c r="Y613" s="759">
        <v>0</v>
      </c>
      <c r="Z613" s="761">
        <v>0</v>
      </c>
      <c r="AA613" s="799" t="s">
        <v>194</v>
      </c>
      <c r="AB613" s="775"/>
      <c r="AC613" s="775"/>
      <c r="AD613" s="775"/>
      <c r="AE613" s="775"/>
      <c r="AF613" s="775"/>
      <c r="AG613" s="775"/>
      <c r="AH613" s="775"/>
      <c r="AI613" s="775"/>
      <c r="AJ613" s="775"/>
      <c r="AK613" s="775"/>
      <c r="AL613" s="775"/>
      <c r="AM613" s="775"/>
      <c r="AN613" s="775"/>
      <c r="AO613" s="775"/>
      <c r="AP613" s="775"/>
    </row>
    <row r="614" spans="1:42" s="141" customFormat="1" ht="18.95" customHeight="1">
      <c r="A614" s="868" t="s">
        <v>1777</v>
      </c>
      <c r="B614" s="868" t="s">
        <v>1741</v>
      </c>
      <c r="C614" s="867">
        <v>44644</v>
      </c>
      <c r="D614" s="868" t="s">
        <v>212</v>
      </c>
      <c r="E614" s="868" t="s">
        <v>320</v>
      </c>
      <c r="F614" s="890" t="s">
        <v>1778</v>
      </c>
      <c r="G614" s="875" t="s">
        <v>201</v>
      </c>
      <c r="H614" s="870" t="s">
        <v>260</v>
      </c>
      <c r="I614" s="775" t="s">
        <v>1779</v>
      </c>
      <c r="J614" s="658">
        <f>VLOOKUP($I614,Prices!A:B,2,0)</f>
        <v>3.5</v>
      </c>
      <c r="K614" s="790">
        <f>VLOOKUP(I614,Prices!A:C,3,0)</f>
        <v>0</v>
      </c>
      <c r="L614" s="788">
        <v>6000</v>
      </c>
      <c r="M614" s="788">
        <f>L614</f>
        <v>6000</v>
      </c>
      <c r="N614" s="647">
        <f>VLOOKUP($I614,Prices!A:D,4,0)</f>
        <v>68500</v>
      </c>
      <c r="O614" s="769">
        <f t="shared" si="38"/>
        <v>411000000</v>
      </c>
      <c r="P614" s="793">
        <f t="shared" si="41"/>
        <v>411000000</v>
      </c>
      <c r="Q614" s="869">
        <f>O614</f>
        <v>411000000</v>
      </c>
      <c r="R614" s="869">
        <f>Q614/VLOOKUP(H614, 'Currency Conversion'!B:C, 2, 0)</f>
        <v>389204545.45454544</v>
      </c>
      <c r="S614" s="886">
        <f>R614</f>
        <v>389204545.45454544</v>
      </c>
      <c r="T614" s="870" t="s">
        <v>195</v>
      </c>
      <c r="U614" s="854" t="s">
        <v>1780</v>
      </c>
      <c r="V614" s="854" t="s">
        <v>1781</v>
      </c>
      <c r="W614" s="882" t="s">
        <v>194</v>
      </c>
      <c r="X614" s="880" t="s">
        <v>194</v>
      </c>
      <c r="Y614" s="878">
        <v>0</v>
      </c>
      <c r="Z614" s="888">
        <v>0</v>
      </c>
      <c r="AA614" s="899" t="s">
        <v>1782</v>
      </c>
      <c r="AB614" s="775"/>
      <c r="AC614" s="775"/>
      <c r="AD614" s="775"/>
      <c r="AE614" s="775"/>
      <c r="AF614" s="775"/>
      <c r="AG614" s="775"/>
      <c r="AH614" s="775"/>
      <c r="AI614" s="775"/>
      <c r="AJ614" s="775"/>
      <c r="AK614" s="775"/>
      <c r="AL614" s="775"/>
      <c r="AM614" s="775"/>
      <c r="AN614" s="775"/>
      <c r="AO614" s="775"/>
      <c r="AP614" s="775"/>
    </row>
    <row r="615" spans="1:42" s="141" customFormat="1" ht="17.100000000000001" customHeight="1">
      <c r="A615" s="868"/>
      <c r="B615" s="868"/>
      <c r="C615" s="867"/>
      <c r="D615" s="868"/>
      <c r="E615" s="868"/>
      <c r="F615" s="890"/>
      <c r="G615" s="875"/>
      <c r="H615" s="870"/>
      <c r="I615" s="775" t="s">
        <v>1783</v>
      </c>
      <c r="J615" s="658">
        <f>VLOOKUP($I615,Prices!A:B,2,0)</f>
        <v>3.5</v>
      </c>
      <c r="K615" s="790">
        <f>VLOOKUP(I615,Prices!A:C,3,0)</f>
        <v>0</v>
      </c>
      <c r="L615" s="788" t="s">
        <v>1784</v>
      </c>
      <c r="M615" s="788" t="str">
        <f t="shared" ref="M615:M616" si="42">L615</f>
        <v>Undisclosed</v>
      </c>
      <c r="N615" s="707">
        <f>VLOOKUP($I615,Prices!A:D,4,0)</f>
        <v>130347</v>
      </c>
      <c r="O615" s="769" t="s">
        <v>194</v>
      </c>
      <c r="P615" s="793" t="s">
        <v>194</v>
      </c>
      <c r="Q615" s="869"/>
      <c r="R615" s="869"/>
      <c r="S615" s="886"/>
      <c r="T615" s="870"/>
      <c r="U615" s="854"/>
      <c r="V615" s="854"/>
      <c r="W615" s="882"/>
      <c r="X615" s="880"/>
      <c r="Y615" s="878"/>
      <c r="Z615" s="888"/>
      <c r="AA615" s="899"/>
      <c r="AB615" s="775"/>
      <c r="AC615" s="775"/>
      <c r="AD615" s="775"/>
      <c r="AE615" s="775"/>
      <c r="AF615" s="775"/>
      <c r="AG615" s="775"/>
      <c r="AH615" s="775"/>
      <c r="AI615" s="775"/>
      <c r="AJ615" s="775"/>
      <c r="AK615" s="775"/>
      <c r="AL615" s="775"/>
      <c r="AM615" s="775"/>
      <c r="AN615" s="775"/>
      <c r="AO615" s="775"/>
      <c r="AP615" s="775"/>
    </row>
    <row r="616" spans="1:42" s="141" customFormat="1" ht="15.95" customHeight="1">
      <c r="A616" s="868" t="s">
        <v>1785</v>
      </c>
      <c r="B616" s="868" t="s">
        <v>1741</v>
      </c>
      <c r="C616" s="867">
        <v>44659</v>
      </c>
      <c r="D616" s="868" t="s">
        <v>212</v>
      </c>
      <c r="E616" s="868" t="s">
        <v>213</v>
      </c>
      <c r="F616" s="890" t="s">
        <v>1786</v>
      </c>
      <c r="G616" s="875">
        <v>100000000</v>
      </c>
      <c r="H616" s="870" t="s">
        <v>1743</v>
      </c>
      <c r="I616" s="775" t="s">
        <v>1193</v>
      </c>
      <c r="J616" s="658">
        <f>VLOOKUP($I616,Prices!A:B,2,0)</f>
        <v>3</v>
      </c>
      <c r="K616" s="790">
        <f>VLOOKUP(I616,Prices!A:C,3,0)</f>
        <v>0</v>
      </c>
      <c r="L616" s="788">
        <v>800</v>
      </c>
      <c r="M616" s="788">
        <f t="shared" si="42"/>
        <v>800</v>
      </c>
      <c r="N616" s="647">
        <f>VLOOKUP($I616,Prices!A:D,4,0)</f>
        <v>33000</v>
      </c>
      <c r="O616" s="769">
        <f t="shared" si="38"/>
        <v>26400000</v>
      </c>
      <c r="P616" s="793">
        <f t="shared" si="41"/>
        <v>26400000</v>
      </c>
      <c r="Q616" s="869">
        <f>G616</f>
        <v>100000000</v>
      </c>
      <c r="R616" s="869">
        <f>Q616/VLOOKUP(H616,'Currency Conversion'!B2:C14,2,0)</f>
        <v>116552833.39937994</v>
      </c>
      <c r="S616" s="886">
        <f>R616</f>
        <v>116552833.39937994</v>
      </c>
      <c r="T616" s="870" t="s">
        <v>195</v>
      </c>
      <c r="U616" s="854" t="s">
        <v>1787</v>
      </c>
      <c r="V616" s="854" t="s">
        <v>1788</v>
      </c>
      <c r="W616" s="854" t="s">
        <v>1789</v>
      </c>
      <c r="X616" s="868" t="s">
        <v>194</v>
      </c>
      <c r="Y616" s="878">
        <v>0</v>
      </c>
      <c r="Z616" s="888">
        <v>0</v>
      </c>
      <c r="AA616" s="799" t="s">
        <v>194</v>
      </c>
      <c r="AB616" s="775"/>
      <c r="AC616" s="775"/>
      <c r="AD616" s="775"/>
      <c r="AE616" s="775"/>
      <c r="AF616" s="775"/>
      <c r="AG616" s="775"/>
      <c r="AH616" s="775"/>
      <c r="AI616" s="775"/>
      <c r="AJ616" s="775"/>
      <c r="AK616" s="775"/>
      <c r="AL616" s="775"/>
      <c r="AM616" s="775"/>
      <c r="AN616" s="775"/>
      <c r="AO616" s="775"/>
      <c r="AP616" s="775"/>
    </row>
    <row r="617" spans="1:42" s="141" customFormat="1" ht="17.100000000000001" customHeight="1">
      <c r="A617" s="868"/>
      <c r="B617" s="868"/>
      <c r="C617" s="867"/>
      <c r="D617" s="868"/>
      <c r="E617" s="868"/>
      <c r="F617" s="890"/>
      <c r="G617" s="875"/>
      <c r="H617" s="870"/>
      <c r="I617" s="775" t="s">
        <v>675</v>
      </c>
      <c r="J617" s="658">
        <f>VLOOKUP($I617,Prices!A:B,2,0)</f>
        <v>3</v>
      </c>
      <c r="K617" s="790">
        <f>VLOOKUP(I617,Prices!A:C,3,0)</f>
        <v>0</v>
      </c>
      <c r="L617" s="788" t="s">
        <v>224</v>
      </c>
      <c r="M617" s="788">
        <v>201</v>
      </c>
      <c r="N617" s="707">
        <f>VLOOKUP($I617,Prices!A:D,4,0)</f>
        <v>80000</v>
      </c>
      <c r="O617" s="769" t="s">
        <v>194</v>
      </c>
      <c r="P617" s="793">
        <f t="shared" si="41"/>
        <v>16080000</v>
      </c>
      <c r="Q617" s="869"/>
      <c r="R617" s="869"/>
      <c r="S617" s="886"/>
      <c r="T617" s="870"/>
      <c r="U617" s="854"/>
      <c r="V617" s="854"/>
      <c r="W617" s="854"/>
      <c r="X617" s="868"/>
      <c r="Y617" s="878"/>
      <c r="Z617" s="888"/>
      <c r="AA617" s="762" t="s">
        <v>1761</v>
      </c>
      <c r="AB617" s="775"/>
      <c r="AC617" s="775"/>
      <c r="AD617" s="775"/>
      <c r="AE617" s="775"/>
      <c r="AF617" s="775"/>
      <c r="AG617" s="775"/>
      <c r="AH617" s="775"/>
      <c r="AI617" s="775"/>
      <c r="AJ617" s="775"/>
      <c r="AK617" s="775"/>
      <c r="AL617" s="775"/>
      <c r="AM617" s="775"/>
      <c r="AN617" s="775"/>
      <c r="AO617" s="775"/>
      <c r="AP617" s="775"/>
    </row>
    <row r="618" spans="1:42" s="141" customFormat="1" ht="18" customHeight="1">
      <c r="A618" s="868"/>
      <c r="B618" s="868"/>
      <c r="C618" s="867"/>
      <c r="D618" s="868"/>
      <c r="E618" s="868"/>
      <c r="F618" s="890"/>
      <c r="G618" s="875"/>
      <c r="H618" s="870"/>
      <c r="I618" s="775" t="s">
        <v>1790</v>
      </c>
      <c r="J618" s="658">
        <f>VLOOKUP($I618,Prices!A:B,2,0)</f>
        <v>0</v>
      </c>
      <c r="K618" s="790">
        <f>VLOOKUP(I618,Prices!A:C,3,0)</f>
        <v>0</v>
      </c>
      <c r="L618" s="788" t="s">
        <v>224</v>
      </c>
      <c r="M618" s="788" t="str">
        <f>L618</f>
        <v>undisclosed</v>
      </c>
      <c r="N618" s="707">
        <f>VLOOKUP($I618,Prices!A:D,4,0)</f>
        <v>6000</v>
      </c>
      <c r="O618" s="769" t="s">
        <v>194</v>
      </c>
      <c r="P618" s="793" t="s">
        <v>194</v>
      </c>
      <c r="Q618" s="869"/>
      <c r="R618" s="869"/>
      <c r="S618" s="886"/>
      <c r="T618" s="870"/>
      <c r="U618" s="854"/>
      <c r="V618" s="854"/>
      <c r="W618" s="854"/>
      <c r="X618" s="868"/>
      <c r="Y618" s="878"/>
      <c r="Z618" s="888"/>
      <c r="AA618" s="799" t="s">
        <v>194</v>
      </c>
      <c r="AB618" s="775"/>
      <c r="AC618" s="775"/>
      <c r="AD618" s="775"/>
      <c r="AE618" s="775"/>
      <c r="AF618" s="775"/>
      <c r="AG618" s="775"/>
      <c r="AH618" s="775"/>
      <c r="AI618" s="775"/>
      <c r="AJ618" s="775"/>
      <c r="AK618" s="775"/>
      <c r="AL618" s="775"/>
      <c r="AM618" s="775"/>
      <c r="AN618" s="775"/>
      <c r="AO618" s="775"/>
      <c r="AP618" s="775"/>
    </row>
    <row r="619" spans="1:42" s="141" customFormat="1" ht="18.95" customHeight="1">
      <c r="A619" s="868"/>
      <c r="B619" s="868"/>
      <c r="C619" s="867"/>
      <c r="D619" s="868"/>
      <c r="E619" s="868"/>
      <c r="F619" s="890"/>
      <c r="G619" s="875"/>
      <c r="H619" s="870"/>
      <c r="I619" s="775" t="s">
        <v>1768</v>
      </c>
      <c r="J619" s="658">
        <f>VLOOKUP($I619,Prices!A:B,2,0)</f>
        <v>3</v>
      </c>
      <c r="K619" s="790">
        <f>VLOOKUP(I619,Prices!A:C,3,0)</f>
        <v>0</v>
      </c>
      <c r="L619" s="788" t="s">
        <v>224</v>
      </c>
      <c r="M619" s="788" t="str">
        <f t="shared" ref="M619:M621" si="43">L619</f>
        <v>undisclosed</v>
      </c>
      <c r="N619" s="647">
        <f>VLOOKUP($I619,Prices!A:D,4,0)</f>
        <v>137238</v>
      </c>
      <c r="O619" s="769" t="s">
        <v>194</v>
      </c>
      <c r="P619" s="793" t="s">
        <v>194</v>
      </c>
      <c r="Q619" s="869"/>
      <c r="R619" s="869"/>
      <c r="S619" s="886"/>
      <c r="T619" s="870"/>
      <c r="U619" s="854"/>
      <c r="V619" s="854"/>
      <c r="W619" s="854"/>
      <c r="X619" s="868"/>
      <c r="Y619" s="878"/>
      <c r="Z619" s="888"/>
      <c r="AA619" s="799" t="s">
        <v>194</v>
      </c>
      <c r="AB619" s="775"/>
      <c r="AC619" s="775"/>
      <c r="AD619" s="775"/>
      <c r="AE619" s="775"/>
      <c r="AF619" s="775"/>
      <c r="AG619" s="775"/>
      <c r="AH619" s="775"/>
      <c r="AI619" s="775"/>
      <c r="AJ619" s="775"/>
      <c r="AK619" s="775"/>
      <c r="AL619" s="775"/>
      <c r="AM619" s="775"/>
      <c r="AN619" s="775"/>
      <c r="AO619" s="775"/>
      <c r="AP619" s="775"/>
    </row>
    <row r="620" spans="1:42" s="141" customFormat="1" ht="18" customHeight="1">
      <c r="A620" s="868"/>
      <c r="B620" s="868"/>
      <c r="C620" s="867"/>
      <c r="D620" s="868"/>
      <c r="E620" s="868"/>
      <c r="F620" s="890"/>
      <c r="G620" s="875"/>
      <c r="H620" s="870"/>
      <c r="I620" s="775" t="s">
        <v>344</v>
      </c>
      <c r="J620" s="658">
        <f>VLOOKUP($I620,Prices!A:B,2,0)</f>
        <v>1</v>
      </c>
      <c r="K620" s="790">
        <f>VLOOKUP(I620,Prices!A:C,3,0)</f>
        <v>0</v>
      </c>
      <c r="L620" s="788" t="s">
        <v>224</v>
      </c>
      <c r="M620" s="788" t="str">
        <f t="shared" si="43"/>
        <v>undisclosed</v>
      </c>
      <c r="N620" s="707">
        <f>VLOOKUP($I620,Prices!A:D,4,0)</f>
        <v>1400</v>
      </c>
      <c r="O620" s="769" t="s">
        <v>194</v>
      </c>
      <c r="P620" s="793" t="s">
        <v>194</v>
      </c>
      <c r="Q620" s="869"/>
      <c r="R620" s="869"/>
      <c r="S620" s="886"/>
      <c r="T620" s="870"/>
      <c r="U620" s="854"/>
      <c r="V620" s="854"/>
      <c r="W620" s="854"/>
      <c r="X620" s="868"/>
      <c r="Y620" s="878"/>
      <c r="Z620" s="888"/>
      <c r="AA620" s="799" t="s">
        <v>194</v>
      </c>
      <c r="AB620" s="775"/>
      <c r="AC620" s="775"/>
      <c r="AD620" s="775"/>
      <c r="AE620" s="775"/>
      <c r="AF620" s="775"/>
      <c r="AG620" s="775"/>
      <c r="AH620" s="775"/>
      <c r="AI620" s="775"/>
      <c r="AJ620" s="775"/>
      <c r="AK620" s="775"/>
      <c r="AL620" s="775"/>
      <c r="AM620" s="775"/>
      <c r="AN620" s="775"/>
      <c r="AO620" s="775"/>
      <c r="AP620" s="775"/>
    </row>
    <row r="621" spans="1:42" s="141" customFormat="1" ht="24" customHeight="1">
      <c r="A621" s="868"/>
      <c r="B621" s="868"/>
      <c r="C621" s="867"/>
      <c r="D621" s="868"/>
      <c r="E621" s="868"/>
      <c r="F621" s="890"/>
      <c r="G621" s="875"/>
      <c r="H621" s="870"/>
      <c r="I621" s="775" t="s">
        <v>348</v>
      </c>
      <c r="J621" s="658">
        <f>VLOOKUP($I621,Prices!A:B,2,0)</f>
        <v>1</v>
      </c>
      <c r="K621" s="790">
        <f>VLOOKUP(I621,Prices!A:C,3,0)</f>
        <v>0</v>
      </c>
      <c r="L621" s="788" t="s">
        <v>224</v>
      </c>
      <c r="M621" s="788" t="str">
        <f t="shared" si="43"/>
        <v>undisclosed</v>
      </c>
      <c r="N621" s="647">
        <f>VLOOKUP($I621,Prices!A:D,4,0)</f>
        <v>500</v>
      </c>
      <c r="O621" s="769" t="s">
        <v>194</v>
      </c>
      <c r="P621" s="793" t="s">
        <v>194</v>
      </c>
      <c r="Q621" s="869"/>
      <c r="R621" s="869"/>
      <c r="S621" s="886"/>
      <c r="T621" s="870"/>
      <c r="U621" s="854"/>
      <c r="V621" s="854"/>
      <c r="W621" s="854"/>
      <c r="X621" s="868"/>
      <c r="Y621" s="878"/>
      <c r="Z621" s="888"/>
      <c r="AA621" s="799" t="s">
        <v>194</v>
      </c>
      <c r="AB621" s="775"/>
      <c r="AC621" s="775"/>
      <c r="AD621" s="775"/>
      <c r="AE621" s="775"/>
      <c r="AF621" s="775"/>
      <c r="AG621" s="775"/>
      <c r="AH621" s="775"/>
      <c r="AI621" s="775"/>
      <c r="AJ621" s="775"/>
      <c r="AK621" s="775"/>
      <c r="AL621" s="775"/>
      <c r="AM621" s="775"/>
      <c r="AN621" s="775"/>
      <c r="AO621" s="775"/>
      <c r="AP621" s="775"/>
    </row>
    <row r="622" spans="1:42" s="141" customFormat="1" ht="20.25" customHeight="1">
      <c r="A622" s="868"/>
      <c r="B622" s="868"/>
      <c r="C622" s="867"/>
      <c r="D622" s="868"/>
      <c r="E622" s="868"/>
      <c r="F622" s="890"/>
      <c r="G622" s="875"/>
      <c r="H622" s="870"/>
      <c r="I622" s="775" t="s">
        <v>412</v>
      </c>
      <c r="J622" s="658">
        <f>VLOOKUP($I622,Prices!A:B,2,0)</f>
        <v>1</v>
      </c>
      <c r="K622" s="790">
        <f>VLOOKUP(I622,Prices!A:C,3,0)</f>
        <v>0</v>
      </c>
      <c r="L622" s="788" t="s">
        <v>224</v>
      </c>
      <c r="M622" s="788">
        <v>2000</v>
      </c>
      <c r="N622" s="707">
        <f>VLOOKUP($I622,Prices!A:D,4,0)</f>
        <v>7600</v>
      </c>
      <c r="O622" s="769" t="s">
        <v>194</v>
      </c>
      <c r="P622" s="793">
        <f t="shared" si="41"/>
        <v>15200000</v>
      </c>
      <c r="Q622" s="869"/>
      <c r="R622" s="869"/>
      <c r="S622" s="886"/>
      <c r="T622" s="870"/>
      <c r="U622" s="854"/>
      <c r="V622" s="854"/>
      <c r="W622" s="854"/>
      <c r="X622" s="868"/>
      <c r="Y622" s="878"/>
      <c r="Z622" s="888"/>
      <c r="AA622" s="762" t="s">
        <v>1761</v>
      </c>
      <c r="AB622" s="775"/>
      <c r="AC622" s="775"/>
      <c r="AD622" s="775"/>
      <c r="AE622" s="775"/>
      <c r="AF622" s="775"/>
      <c r="AG622" s="775"/>
      <c r="AH622" s="775"/>
      <c r="AI622" s="775"/>
      <c r="AJ622" s="775"/>
      <c r="AK622" s="775"/>
      <c r="AL622" s="775"/>
      <c r="AM622" s="775"/>
      <c r="AN622" s="775"/>
      <c r="AO622" s="775"/>
      <c r="AP622" s="775"/>
    </row>
    <row r="623" spans="1:42" s="141" customFormat="1" ht="18" customHeight="1">
      <c r="A623" s="868" t="s">
        <v>1791</v>
      </c>
      <c r="B623" s="868" t="s">
        <v>1741</v>
      </c>
      <c r="C623" s="867">
        <v>44660</v>
      </c>
      <c r="D623" s="868" t="s">
        <v>212</v>
      </c>
      <c r="E623" s="868" t="s">
        <v>320</v>
      </c>
      <c r="F623" s="890" t="s">
        <v>1792</v>
      </c>
      <c r="G623" s="875" t="s">
        <v>201</v>
      </c>
      <c r="H623" s="870" t="s">
        <v>260</v>
      </c>
      <c r="I623" s="775" t="s">
        <v>1793</v>
      </c>
      <c r="J623" s="658">
        <f>VLOOKUP($I623,Prices!A:B,2,0)</f>
        <v>4</v>
      </c>
      <c r="K623" s="790">
        <f>VLOOKUP(I623,Prices!A:C,3,0)</f>
        <v>0</v>
      </c>
      <c r="L623" s="788">
        <v>120</v>
      </c>
      <c r="M623" s="788">
        <v>120</v>
      </c>
      <c r="N623" s="647">
        <f>VLOOKUP($I623,Prices!A:D,4,0)</f>
        <v>644000</v>
      </c>
      <c r="O623" s="769">
        <f t="shared" si="38"/>
        <v>77280000</v>
      </c>
      <c r="P623" s="793">
        <f t="shared" si="41"/>
        <v>77280000</v>
      </c>
      <c r="Q623" s="869">
        <f>O623</f>
        <v>77280000</v>
      </c>
      <c r="R623" s="869">
        <f>Q623/VLOOKUP(H623, 'Currency Conversion'!B:C, 2, 0)</f>
        <v>73181818.181818172</v>
      </c>
      <c r="S623" s="886">
        <f>R623</f>
        <v>73181818.181818172</v>
      </c>
      <c r="T623" s="870" t="s">
        <v>298</v>
      </c>
      <c r="U623" s="854" t="s">
        <v>1789</v>
      </c>
      <c r="V623" s="854" t="s">
        <v>1794</v>
      </c>
      <c r="W623" s="911" t="s">
        <v>194</v>
      </c>
      <c r="X623" s="896" t="s">
        <v>194</v>
      </c>
      <c r="Y623" s="878">
        <v>0</v>
      </c>
      <c r="Z623" s="888">
        <v>0</v>
      </c>
      <c r="AA623" s="762" t="s">
        <v>1761</v>
      </c>
      <c r="AB623" s="775"/>
      <c r="AC623" s="775"/>
      <c r="AD623" s="775"/>
      <c r="AE623" s="775"/>
      <c r="AF623" s="775"/>
      <c r="AG623" s="775"/>
      <c r="AH623" s="775"/>
      <c r="AI623" s="775"/>
      <c r="AJ623" s="775"/>
      <c r="AK623" s="775"/>
      <c r="AL623" s="775"/>
      <c r="AM623" s="775"/>
      <c r="AN623" s="775"/>
      <c r="AO623" s="775"/>
      <c r="AP623" s="775"/>
    </row>
    <row r="624" spans="1:42" s="141" customFormat="1" ht="58.5" customHeight="1">
      <c r="A624" s="868"/>
      <c r="B624" s="868"/>
      <c r="C624" s="867"/>
      <c r="D624" s="868"/>
      <c r="E624" s="868"/>
      <c r="F624" s="890"/>
      <c r="G624" s="875"/>
      <c r="H624" s="870"/>
      <c r="I624" s="775" t="s">
        <v>1795</v>
      </c>
      <c r="J624" s="658">
        <f>VLOOKUP($I624,Prices!A:B,2,0)</f>
        <v>4</v>
      </c>
      <c r="K624" s="790">
        <f>VLOOKUP(I624,Prices!A:C,3,0)</f>
        <v>0</v>
      </c>
      <c r="L624" s="788" t="s">
        <v>224</v>
      </c>
      <c r="M624" s="788"/>
      <c r="N624" s="647">
        <f>VLOOKUP($I624,Prices!A:D,4,0)</f>
        <v>3960000</v>
      </c>
      <c r="O624" s="769" t="s">
        <v>194</v>
      </c>
      <c r="P624" s="793" t="s">
        <v>194</v>
      </c>
      <c r="Q624" s="869"/>
      <c r="R624" s="869"/>
      <c r="S624" s="886"/>
      <c r="T624" s="870"/>
      <c r="U624" s="854"/>
      <c r="V624" s="854"/>
      <c r="W624" s="911"/>
      <c r="X624" s="896"/>
      <c r="Y624" s="878"/>
      <c r="Z624" s="888"/>
      <c r="AA624" s="799" t="s">
        <v>194</v>
      </c>
      <c r="AB624" s="775"/>
      <c r="AC624" s="775"/>
      <c r="AD624" s="775"/>
      <c r="AE624" s="775"/>
      <c r="AF624" s="775"/>
      <c r="AG624" s="775"/>
      <c r="AH624" s="775"/>
      <c r="AI624" s="775"/>
      <c r="AJ624" s="775"/>
      <c r="AK624" s="775"/>
      <c r="AL624" s="775"/>
      <c r="AM624" s="775"/>
      <c r="AN624" s="775"/>
      <c r="AO624" s="775"/>
      <c r="AP624" s="775"/>
    </row>
    <row r="625" spans="1:42" s="141" customFormat="1" ht="28.5" customHeight="1">
      <c r="A625" s="775" t="s">
        <v>1796</v>
      </c>
      <c r="B625" s="775" t="s">
        <v>1741</v>
      </c>
      <c r="C625" s="780" t="s">
        <v>1797</v>
      </c>
      <c r="D625" s="775" t="s">
        <v>212</v>
      </c>
      <c r="E625" s="775" t="s">
        <v>320</v>
      </c>
      <c r="F625" s="773" t="s">
        <v>1798</v>
      </c>
      <c r="G625" s="777" t="s">
        <v>201</v>
      </c>
      <c r="H625" s="757" t="s">
        <v>194</v>
      </c>
      <c r="I625" s="775" t="s">
        <v>1799</v>
      </c>
      <c r="J625" s="658">
        <f>VLOOKUP($I625,Prices!A:B,2,0)</f>
        <v>4</v>
      </c>
      <c r="K625" s="790">
        <f>VLOOKUP(I625,Prices!A:C,3,0)</f>
        <v>0</v>
      </c>
      <c r="L625" s="788" t="s">
        <v>224</v>
      </c>
      <c r="M625" s="788" t="s">
        <v>224</v>
      </c>
      <c r="N625" s="647" t="str">
        <f>VLOOKUP($I625,Prices!A:D,4,0)</f>
        <v>.</v>
      </c>
      <c r="O625" s="769" t="s">
        <v>194</v>
      </c>
      <c r="P625" s="793" t="s">
        <v>194</v>
      </c>
      <c r="Q625" s="772" t="s">
        <v>194</v>
      </c>
      <c r="R625" s="772" t="s">
        <v>194</v>
      </c>
      <c r="S625" s="749" t="s">
        <v>194</v>
      </c>
      <c r="T625" s="749" t="s">
        <v>298</v>
      </c>
      <c r="U625" s="756" t="s">
        <v>1800</v>
      </c>
      <c r="V625" s="783" t="s">
        <v>194</v>
      </c>
      <c r="W625" s="783" t="s">
        <v>194</v>
      </c>
      <c r="X625" s="771" t="s">
        <v>194</v>
      </c>
      <c r="Y625" s="759">
        <v>0</v>
      </c>
      <c r="Z625" s="761">
        <v>0</v>
      </c>
      <c r="AA625" s="799" t="s">
        <v>194</v>
      </c>
      <c r="AB625" s="775"/>
      <c r="AC625" s="775"/>
      <c r="AD625" s="775"/>
      <c r="AE625" s="775"/>
      <c r="AF625" s="775"/>
      <c r="AG625" s="775"/>
      <c r="AH625" s="775"/>
      <c r="AI625" s="775"/>
      <c r="AJ625" s="775"/>
      <c r="AK625" s="775"/>
      <c r="AL625" s="775"/>
      <c r="AM625" s="775"/>
      <c r="AN625" s="775"/>
      <c r="AO625" s="775"/>
      <c r="AP625" s="775"/>
    </row>
    <row r="626" spans="1:42" s="141" customFormat="1" ht="24.75" customHeight="1">
      <c r="A626" s="848" t="s">
        <v>1801</v>
      </c>
      <c r="B626" s="848" t="s">
        <v>1741</v>
      </c>
      <c r="C626" s="849">
        <v>44701</v>
      </c>
      <c r="D626" s="848" t="s">
        <v>212</v>
      </c>
      <c r="E626" s="848" t="s">
        <v>213</v>
      </c>
      <c r="F626" s="850" t="s">
        <v>1802</v>
      </c>
      <c r="G626" s="872">
        <v>1300000000</v>
      </c>
      <c r="H626" s="852" t="s">
        <v>1743</v>
      </c>
      <c r="I626" s="750" t="s">
        <v>1224</v>
      </c>
      <c r="J626" s="658">
        <f>VLOOKUP($I626,Prices!A:B,2,0)</f>
        <v>1</v>
      </c>
      <c r="K626" s="790">
        <f>VLOOKUP(I626,Prices!A:C,3,0)</f>
        <v>0</v>
      </c>
      <c r="L626" s="644" t="s">
        <v>224</v>
      </c>
      <c r="M626" s="644" t="s">
        <v>224</v>
      </c>
      <c r="N626" s="647" t="str">
        <f>VLOOKUP($I626,Prices!A:D,4,0)</f>
        <v>.</v>
      </c>
      <c r="O626" s="769" t="s">
        <v>194</v>
      </c>
      <c r="P626" s="793" t="s">
        <v>194</v>
      </c>
      <c r="Q626" s="851">
        <f>G626</f>
        <v>1300000000</v>
      </c>
      <c r="R626" s="851">
        <f>Q626/VLOOKUP(H626, 'Currency Conversion'!B:C, 2, 0)</f>
        <v>1515186834.1919394</v>
      </c>
      <c r="S626" s="853">
        <f>SUM(P626:P633)/VLOOKUP("USD",'Currency Conversion'!B:C,2,0)</f>
        <v>262765151.5151515</v>
      </c>
      <c r="T626" s="852" t="s">
        <v>195</v>
      </c>
      <c r="U626" s="854" t="s">
        <v>1803</v>
      </c>
      <c r="V626" s="854" t="s">
        <v>1804</v>
      </c>
      <c r="W626" s="925" t="s">
        <v>194</v>
      </c>
      <c r="X626" s="848" t="s">
        <v>194</v>
      </c>
      <c r="Y626" s="852">
        <v>0</v>
      </c>
      <c r="Z626" s="852">
        <v>1</v>
      </c>
      <c r="AA626" s="779" t="s">
        <v>1805</v>
      </c>
      <c r="AB626" s="779"/>
      <c r="AC626" s="750" t="s">
        <v>21</v>
      </c>
      <c r="AD626" s="750" t="s">
        <v>21</v>
      </c>
      <c r="AE626" s="750" t="s">
        <v>21</v>
      </c>
      <c r="AF626" s="750" t="s">
        <v>21</v>
      </c>
      <c r="AG626" s="750" t="s">
        <v>21</v>
      </c>
      <c r="AH626" s="750" t="s">
        <v>21</v>
      </c>
      <c r="AI626" s="750" t="s">
        <v>21</v>
      </c>
      <c r="AJ626" s="750" t="s">
        <v>21</v>
      </c>
      <c r="AK626" s="750" t="s">
        <v>21</v>
      </c>
      <c r="AL626" s="750" t="s">
        <v>21</v>
      </c>
      <c r="AM626" s="750" t="s">
        <v>21</v>
      </c>
      <c r="AN626" s="750" t="s">
        <v>21</v>
      </c>
      <c r="AO626" s="750" t="s">
        <v>21</v>
      </c>
      <c r="AP626" s="750" t="s">
        <v>21</v>
      </c>
    </row>
    <row r="627" spans="1:42" s="141" customFormat="1" ht="29.25" customHeight="1">
      <c r="A627" s="848"/>
      <c r="B627" s="848"/>
      <c r="C627" s="848"/>
      <c r="D627" s="848"/>
      <c r="E627" s="848"/>
      <c r="F627" s="850"/>
      <c r="G627" s="872"/>
      <c r="H627" s="852"/>
      <c r="I627" s="750" t="s">
        <v>1806</v>
      </c>
      <c r="J627" s="658">
        <f>VLOOKUP($I627,Prices!A:B,2,0)</f>
        <v>5</v>
      </c>
      <c r="K627" s="790">
        <f>VLOOKUP(I627,Prices!A:C,3,0)</f>
        <v>0</v>
      </c>
      <c r="L627" s="644" t="s">
        <v>224</v>
      </c>
      <c r="M627" s="644" t="s">
        <v>1807</v>
      </c>
      <c r="N627" s="647">
        <f>VLOOKUP($I627,Prices!A:D,4,0)</f>
        <v>9000</v>
      </c>
      <c r="O627" s="769" t="s">
        <v>194</v>
      </c>
      <c r="P627" s="793" t="s">
        <v>194</v>
      </c>
      <c r="Q627" s="851"/>
      <c r="R627" s="851"/>
      <c r="S627" s="853"/>
      <c r="T627" s="852"/>
      <c r="U627" s="855"/>
      <c r="V627" s="855"/>
      <c r="W627" s="925"/>
      <c r="X627" s="848"/>
      <c r="Y627" s="852"/>
      <c r="Z627" s="852"/>
      <c r="AA627" s="754" t="s">
        <v>194</v>
      </c>
      <c r="AB627" s="613"/>
      <c r="AC627" s="750" t="s">
        <v>21</v>
      </c>
      <c r="AD627" s="750" t="s">
        <v>21</v>
      </c>
      <c r="AE627" s="750" t="s">
        <v>21</v>
      </c>
      <c r="AF627" s="750" t="s">
        <v>21</v>
      </c>
      <c r="AG627" s="750" t="s">
        <v>21</v>
      </c>
      <c r="AH627" s="750" t="s">
        <v>21</v>
      </c>
      <c r="AI627" s="750" t="s">
        <v>21</v>
      </c>
      <c r="AJ627" s="750" t="s">
        <v>21</v>
      </c>
      <c r="AK627" s="750" t="s">
        <v>21</v>
      </c>
      <c r="AL627" s="750" t="s">
        <v>21</v>
      </c>
      <c r="AM627" s="750" t="s">
        <v>21</v>
      </c>
      <c r="AN627" s="750" t="s">
        <v>21</v>
      </c>
      <c r="AO627" s="750" t="s">
        <v>21</v>
      </c>
      <c r="AP627" s="750" t="s">
        <v>21</v>
      </c>
    </row>
    <row r="628" spans="1:42" s="141" customFormat="1" ht="28.5" customHeight="1">
      <c r="A628" s="848"/>
      <c r="B628" s="848"/>
      <c r="C628" s="848"/>
      <c r="D628" s="848"/>
      <c r="E628" s="848"/>
      <c r="F628" s="850"/>
      <c r="G628" s="872"/>
      <c r="H628" s="852"/>
      <c r="I628" s="750" t="s">
        <v>412</v>
      </c>
      <c r="J628" s="658">
        <f>VLOOKUP($I628,Prices!A:B,2,0)</f>
        <v>1</v>
      </c>
      <c r="K628" s="790">
        <f>VLOOKUP(I628,Prices!A:C,3,0)</f>
        <v>0</v>
      </c>
      <c r="L628" s="644" t="s">
        <v>224</v>
      </c>
      <c r="M628" s="644">
        <v>2000</v>
      </c>
      <c r="N628" s="647">
        <f>VLOOKUP($I628,Prices!A:D,4,0)</f>
        <v>7600</v>
      </c>
      <c r="O628" s="769" t="s">
        <v>194</v>
      </c>
      <c r="P628" s="793">
        <f t="shared" si="41"/>
        <v>15200000</v>
      </c>
      <c r="Q628" s="851"/>
      <c r="R628" s="851"/>
      <c r="S628" s="853"/>
      <c r="T628" s="852"/>
      <c r="U628" s="855"/>
      <c r="V628" s="855"/>
      <c r="W628" s="925"/>
      <c r="X628" s="848"/>
      <c r="Y628" s="852"/>
      <c r="Z628" s="852"/>
      <c r="AA628" s="754" t="s">
        <v>194</v>
      </c>
      <c r="AB628" s="613"/>
      <c r="AC628" s="750" t="s">
        <v>21</v>
      </c>
      <c r="AD628" s="750" t="s">
        <v>21</v>
      </c>
      <c r="AE628" s="750" t="s">
        <v>21</v>
      </c>
      <c r="AF628" s="750" t="s">
        <v>21</v>
      </c>
      <c r="AG628" s="750" t="s">
        <v>21</v>
      </c>
      <c r="AH628" s="750" t="s">
        <v>21</v>
      </c>
      <c r="AI628" s="750" t="s">
        <v>21</v>
      </c>
      <c r="AJ628" s="750" t="s">
        <v>21</v>
      </c>
      <c r="AK628" s="750" t="s">
        <v>21</v>
      </c>
      <c r="AL628" s="750" t="s">
        <v>21</v>
      </c>
      <c r="AM628" s="750" t="s">
        <v>21</v>
      </c>
      <c r="AN628" s="750" t="s">
        <v>21</v>
      </c>
      <c r="AO628" s="750" t="s">
        <v>21</v>
      </c>
      <c r="AP628" s="750" t="s">
        <v>21</v>
      </c>
    </row>
    <row r="629" spans="1:42" s="717" customFormat="1" ht="28.5" customHeight="1">
      <c r="A629" s="848"/>
      <c r="B629" s="848"/>
      <c r="C629" s="750"/>
      <c r="D629" s="848"/>
      <c r="E629" s="848"/>
      <c r="F629" s="850"/>
      <c r="G629" s="872"/>
      <c r="H629" s="852"/>
      <c r="I629" s="750" t="s">
        <v>1808</v>
      </c>
      <c r="J629" s="658">
        <f>VLOOKUP($I629,Prices!A:B,2,0)</f>
        <v>1</v>
      </c>
      <c r="K629" s="790">
        <f>VLOOKUP(I629,Prices!A:C,3,0)</f>
        <v>0</v>
      </c>
      <c r="L629" s="644" t="s">
        <v>224</v>
      </c>
      <c r="M629" s="644" t="s">
        <v>194</v>
      </c>
      <c r="N629" s="647" t="str">
        <f>VLOOKUP($I629,Prices!A:D,4,0)</f>
        <v>.</v>
      </c>
      <c r="O629" s="769" t="s">
        <v>194</v>
      </c>
      <c r="P629" s="793" t="s">
        <v>194</v>
      </c>
      <c r="Q629" s="851"/>
      <c r="R629" s="851"/>
      <c r="S629" s="853"/>
      <c r="T629" s="852"/>
      <c r="U629" s="855"/>
      <c r="V629" s="855"/>
      <c r="W629" s="925"/>
      <c r="X629" s="848"/>
      <c r="Y629" s="852"/>
      <c r="Z629" s="852"/>
      <c r="AA629" s="754" t="s">
        <v>194</v>
      </c>
      <c r="AB629" s="613"/>
      <c r="AC629" s="750"/>
      <c r="AD629" s="750"/>
      <c r="AE629" s="750"/>
      <c r="AF629" s="750"/>
      <c r="AG629" s="750"/>
      <c r="AH629" s="750"/>
      <c r="AI629" s="750"/>
      <c r="AJ629" s="750"/>
      <c r="AK629" s="750"/>
      <c r="AL629" s="750"/>
      <c r="AM629" s="750"/>
      <c r="AN629" s="750"/>
      <c r="AO629" s="750"/>
      <c r="AP629" s="750"/>
    </row>
    <row r="630" spans="1:42" s="141" customFormat="1" ht="28.5" customHeight="1">
      <c r="A630" s="848"/>
      <c r="B630" s="848"/>
      <c r="C630" s="751">
        <v>44684</v>
      </c>
      <c r="D630" s="848"/>
      <c r="E630" s="848"/>
      <c r="F630" s="850"/>
      <c r="G630" s="872"/>
      <c r="H630" s="852"/>
      <c r="I630" s="750" t="s">
        <v>1809</v>
      </c>
      <c r="J630" s="658">
        <f>VLOOKUP($I630,Prices!A:B,2,0)</f>
        <v>5.5</v>
      </c>
      <c r="K630" s="790">
        <f>VLOOKUP(I630,Prices!A:C,3,0)</f>
        <v>0</v>
      </c>
      <c r="L630" s="644" t="s">
        <v>224</v>
      </c>
      <c r="M630" s="644">
        <v>200</v>
      </c>
      <c r="N630" s="647">
        <f>VLOOKUP($I630,Prices!A:D,4,0)</f>
        <v>1311400</v>
      </c>
      <c r="O630" s="769" t="s">
        <v>194</v>
      </c>
      <c r="P630" s="793">
        <f t="shared" si="41"/>
        <v>262280000</v>
      </c>
      <c r="Q630" s="851"/>
      <c r="R630" s="851"/>
      <c r="S630" s="853"/>
      <c r="T630" s="852"/>
      <c r="U630" s="855"/>
      <c r="V630" s="855"/>
      <c r="W630" s="925"/>
      <c r="X630" s="848"/>
      <c r="Y630" s="852"/>
      <c r="Z630" s="852"/>
      <c r="AA630" s="754" t="s">
        <v>194</v>
      </c>
      <c r="AB630" s="613"/>
      <c r="AC630" s="750" t="s">
        <v>21</v>
      </c>
      <c r="AD630" s="750" t="s">
        <v>21</v>
      </c>
      <c r="AE630" s="750" t="s">
        <v>21</v>
      </c>
      <c r="AF630" s="750" t="s">
        <v>21</v>
      </c>
      <c r="AG630" s="750" t="s">
        <v>21</v>
      </c>
      <c r="AH630" s="750" t="s">
        <v>21</v>
      </c>
      <c r="AI630" s="750" t="s">
        <v>21</v>
      </c>
      <c r="AJ630" s="750" t="s">
        <v>21</v>
      </c>
      <c r="AK630" s="750" t="s">
        <v>21</v>
      </c>
      <c r="AL630" s="750" t="s">
        <v>21</v>
      </c>
      <c r="AM630" s="750" t="s">
        <v>21</v>
      </c>
      <c r="AN630" s="750" t="s">
        <v>21</v>
      </c>
      <c r="AO630" s="750" t="s">
        <v>21</v>
      </c>
      <c r="AP630" s="750" t="s">
        <v>21</v>
      </c>
    </row>
    <row r="631" spans="1:42" s="141" customFormat="1" ht="28.5" customHeight="1">
      <c r="A631" s="848"/>
      <c r="B631" s="848"/>
      <c r="C631" s="751">
        <v>44718</v>
      </c>
      <c r="D631" s="848"/>
      <c r="E631" s="848"/>
      <c r="F631" s="850"/>
      <c r="G631" s="872"/>
      <c r="H631" s="852"/>
      <c r="I631" s="750" t="s">
        <v>1810</v>
      </c>
      <c r="J631" s="658">
        <f>VLOOKUP($I631,Prices!A:B,2,0)</f>
        <v>4</v>
      </c>
      <c r="K631" s="790">
        <f>VLOOKUP(I631,Prices!A:C,3,0)</f>
        <v>0</v>
      </c>
      <c r="L631" s="644" t="s">
        <v>224</v>
      </c>
      <c r="M631" s="644" t="s">
        <v>194</v>
      </c>
      <c r="N631" s="647">
        <f>VLOOKUP($I631,Prices!A:D,4,0)</f>
        <v>2300000</v>
      </c>
      <c r="O631" s="769" t="s">
        <v>194</v>
      </c>
      <c r="P631" s="793" t="s">
        <v>194</v>
      </c>
      <c r="Q631" s="851"/>
      <c r="R631" s="851"/>
      <c r="S631" s="853"/>
      <c r="T631" s="754" t="s">
        <v>195</v>
      </c>
      <c r="U631" s="756" t="s">
        <v>1811</v>
      </c>
      <c r="V631" s="798" t="s">
        <v>194</v>
      </c>
      <c r="W631" s="925"/>
      <c r="X631" s="848"/>
      <c r="Y631" s="852"/>
      <c r="Z631" s="852"/>
      <c r="AA631" s="754" t="s">
        <v>194</v>
      </c>
      <c r="AB631" s="613"/>
      <c r="AC631" s="750" t="s">
        <v>21</v>
      </c>
      <c r="AD631" s="750" t="s">
        <v>21</v>
      </c>
      <c r="AE631" s="750" t="s">
        <v>21</v>
      </c>
      <c r="AF631" s="750" t="s">
        <v>21</v>
      </c>
      <c r="AG631" s="750" t="s">
        <v>21</v>
      </c>
      <c r="AH631" s="750" t="s">
        <v>21</v>
      </c>
      <c r="AI631" s="750" t="s">
        <v>21</v>
      </c>
      <c r="AJ631" s="750" t="s">
        <v>21</v>
      </c>
      <c r="AK631" s="750" t="s">
        <v>21</v>
      </c>
      <c r="AL631" s="750" t="s">
        <v>21</v>
      </c>
      <c r="AM631" s="750" t="s">
        <v>21</v>
      </c>
      <c r="AN631" s="750" t="s">
        <v>21</v>
      </c>
      <c r="AO631" s="750" t="s">
        <v>21</v>
      </c>
      <c r="AP631" s="750" t="s">
        <v>21</v>
      </c>
    </row>
    <row r="632" spans="1:42" s="141" customFormat="1" ht="28.5" customHeight="1">
      <c r="A632" s="848"/>
      <c r="B632" s="848"/>
      <c r="C632" s="751">
        <v>44718</v>
      </c>
      <c r="D632" s="848"/>
      <c r="E632" s="848"/>
      <c r="F632" s="850"/>
      <c r="G632" s="872"/>
      <c r="H632" s="852"/>
      <c r="I632" s="750" t="s">
        <v>1812</v>
      </c>
      <c r="J632" s="658">
        <f>VLOOKUP($I632,Prices!A:B,2,0)</f>
        <v>4.5</v>
      </c>
      <c r="K632" s="790">
        <f>VLOOKUP(I632,Prices!A:C,3,0)</f>
        <v>0</v>
      </c>
      <c r="L632" s="644" t="s">
        <v>224</v>
      </c>
      <c r="M632" s="644" t="s">
        <v>194</v>
      </c>
      <c r="N632" s="647">
        <f>VLOOKUP($I632,Prices!A:D,4,0)</f>
        <v>625000</v>
      </c>
      <c r="O632" s="769" t="s">
        <v>194</v>
      </c>
      <c r="P632" s="793" t="s">
        <v>194</v>
      </c>
      <c r="Q632" s="851"/>
      <c r="R632" s="851"/>
      <c r="S632" s="853"/>
      <c r="T632" s="754" t="s">
        <v>195</v>
      </c>
      <c r="U632" s="756" t="s">
        <v>1811</v>
      </c>
      <c r="V632" s="798" t="s">
        <v>194</v>
      </c>
      <c r="W632" s="925"/>
      <c r="X632" s="848"/>
      <c r="Y632" s="852"/>
      <c r="Z632" s="852"/>
      <c r="AA632" s="754" t="s">
        <v>194</v>
      </c>
      <c r="AB632" s="613"/>
      <c r="AC632" s="750" t="s">
        <v>21</v>
      </c>
      <c r="AD632" s="750" t="s">
        <v>21</v>
      </c>
      <c r="AE632" s="750" t="s">
        <v>21</v>
      </c>
      <c r="AF632" s="750" t="s">
        <v>21</v>
      </c>
      <c r="AG632" s="750" t="s">
        <v>21</v>
      </c>
      <c r="AH632" s="750" t="s">
        <v>21</v>
      </c>
      <c r="AI632" s="750" t="s">
        <v>21</v>
      </c>
      <c r="AJ632" s="750" t="s">
        <v>21</v>
      </c>
      <c r="AK632" s="750" t="s">
        <v>21</v>
      </c>
      <c r="AL632" s="750" t="s">
        <v>21</v>
      </c>
      <c r="AM632" s="750" t="s">
        <v>21</v>
      </c>
      <c r="AN632" s="750" t="s">
        <v>21</v>
      </c>
      <c r="AO632" s="750" t="s">
        <v>21</v>
      </c>
      <c r="AP632" s="750" t="s">
        <v>21</v>
      </c>
    </row>
    <row r="633" spans="1:42" s="141" customFormat="1" ht="28.5" customHeight="1">
      <c r="A633" s="848"/>
      <c r="B633" s="848"/>
      <c r="C633" s="750" t="s">
        <v>1813</v>
      </c>
      <c r="D633" s="848"/>
      <c r="E633" s="848"/>
      <c r="F633" s="850"/>
      <c r="G633" s="872"/>
      <c r="H633" s="852"/>
      <c r="I633" s="750" t="s">
        <v>1814</v>
      </c>
      <c r="J633" s="658">
        <f>VLOOKUP($I633,Prices!A:B,2,0)</f>
        <v>4</v>
      </c>
      <c r="K633" s="790">
        <f>VLOOKUP(I633,Prices!A:C,3,0)</f>
        <v>0</v>
      </c>
      <c r="L633" s="644" t="s">
        <v>224</v>
      </c>
      <c r="M633" s="644" t="s">
        <v>224</v>
      </c>
      <c r="N633" s="647">
        <f>VLOOKUP($I633,Prices!A:D,4,0)</f>
        <v>517000</v>
      </c>
      <c r="O633" s="769" t="s">
        <v>194</v>
      </c>
      <c r="P633" s="793" t="s">
        <v>194</v>
      </c>
      <c r="Q633" s="851"/>
      <c r="R633" s="851"/>
      <c r="S633" s="853"/>
      <c r="T633" s="754" t="s">
        <v>195</v>
      </c>
      <c r="U633" s="797" t="s">
        <v>1815</v>
      </c>
      <c r="V633" s="798" t="s">
        <v>194</v>
      </c>
      <c r="W633" s="798" t="s">
        <v>194</v>
      </c>
      <c r="X633" s="750" t="s">
        <v>194</v>
      </c>
      <c r="Y633" s="852"/>
      <c r="Z633" s="852"/>
      <c r="AA633" s="754" t="s">
        <v>194</v>
      </c>
      <c r="AB633" s="613"/>
      <c r="AC633" s="750" t="s">
        <v>21</v>
      </c>
      <c r="AD633" s="750" t="s">
        <v>21</v>
      </c>
      <c r="AE633" s="750" t="s">
        <v>21</v>
      </c>
      <c r="AF633" s="750" t="s">
        <v>21</v>
      </c>
      <c r="AG633" s="750" t="s">
        <v>21</v>
      </c>
      <c r="AH633" s="750" t="s">
        <v>21</v>
      </c>
      <c r="AI633" s="750" t="s">
        <v>21</v>
      </c>
      <c r="AJ633" s="750" t="s">
        <v>21</v>
      </c>
      <c r="AK633" s="750" t="s">
        <v>21</v>
      </c>
      <c r="AL633" s="750" t="s">
        <v>21</v>
      </c>
      <c r="AM633" s="750" t="s">
        <v>21</v>
      </c>
      <c r="AN633" s="750" t="s">
        <v>21</v>
      </c>
      <c r="AO633" s="750" t="s">
        <v>21</v>
      </c>
      <c r="AP633" s="750" t="s">
        <v>21</v>
      </c>
    </row>
    <row r="634" spans="1:42" s="141" customFormat="1" ht="28.5" customHeight="1">
      <c r="A634" s="750" t="s">
        <v>1816</v>
      </c>
      <c r="B634" s="750" t="s">
        <v>1741</v>
      </c>
      <c r="C634" s="751">
        <v>44742</v>
      </c>
      <c r="D634" s="750" t="s">
        <v>212</v>
      </c>
      <c r="E634" s="750" t="s">
        <v>213</v>
      </c>
      <c r="F634" s="752" t="s">
        <v>1817</v>
      </c>
      <c r="G634" s="793">
        <v>1200000000</v>
      </c>
      <c r="H634" s="754" t="s">
        <v>1743</v>
      </c>
      <c r="I634" s="750" t="s">
        <v>194</v>
      </c>
      <c r="J634" s="658" t="str">
        <f>VLOOKUP($I634,Prices!A:B,2,0)</f>
        <v>.</v>
      </c>
      <c r="K634" s="790" t="s">
        <v>194</v>
      </c>
      <c r="L634" s="644" t="s">
        <v>194</v>
      </c>
      <c r="M634" s="644" t="s">
        <v>21</v>
      </c>
      <c r="N634" s="647" t="str">
        <f>VLOOKUP($I634,Prices!A:D,4,0)</f>
        <v>.</v>
      </c>
      <c r="O634" s="769" t="s">
        <v>194</v>
      </c>
      <c r="P634" s="793" t="s">
        <v>194</v>
      </c>
      <c r="Q634" s="753">
        <f>G634</f>
        <v>1200000000</v>
      </c>
      <c r="R634" s="772">
        <f>Q634/VLOOKUP(H634,'Currency Conversion'!B1:C13,2,0)</f>
        <v>1398634000.7925594</v>
      </c>
      <c r="S634" s="755" t="s">
        <v>194</v>
      </c>
      <c r="T634" s="754" t="s">
        <v>298</v>
      </c>
      <c r="U634" s="756" t="s">
        <v>1818</v>
      </c>
      <c r="V634" s="798" t="s">
        <v>21</v>
      </c>
      <c r="W634" s="798" t="s">
        <v>21</v>
      </c>
      <c r="X634" s="750"/>
      <c r="Y634" s="754" t="s">
        <v>21</v>
      </c>
      <c r="Z634" s="754" t="s">
        <v>21</v>
      </c>
      <c r="AA634" s="754" t="s">
        <v>21</v>
      </c>
      <c r="AB634" s="750" t="s">
        <v>21</v>
      </c>
      <c r="AC634" s="750" t="s">
        <v>21</v>
      </c>
      <c r="AD634" s="750" t="s">
        <v>21</v>
      </c>
      <c r="AE634" s="750" t="s">
        <v>21</v>
      </c>
      <c r="AF634" s="750" t="s">
        <v>21</v>
      </c>
      <c r="AG634" s="750" t="s">
        <v>21</v>
      </c>
      <c r="AH634" s="750" t="s">
        <v>21</v>
      </c>
      <c r="AI634" s="750" t="s">
        <v>21</v>
      </c>
      <c r="AJ634" s="750" t="s">
        <v>21</v>
      </c>
      <c r="AK634" s="750" t="s">
        <v>21</v>
      </c>
      <c r="AL634" s="750" t="s">
        <v>21</v>
      </c>
      <c r="AM634" s="750" t="s">
        <v>21</v>
      </c>
      <c r="AN634" s="750" t="s">
        <v>21</v>
      </c>
      <c r="AO634" s="750" t="s">
        <v>21</v>
      </c>
      <c r="AP634" s="750" t="s">
        <v>21</v>
      </c>
    </row>
    <row r="635" spans="1:42" s="141" customFormat="1" ht="18" customHeight="1">
      <c r="A635" s="775" t="s">
        <v>1819</v>
      </c>
      <c r="B635" s="775" t="s">
        <v>1741</v>
      </c>
      <c r="C635" s="780">
        <v>44593</v>
      </c>
      <c r="D635" s="775" t="s">
        <v>292</v>
      </c>
      <c r="E635" s="775" t="s">
        <v>276</v>
      </c>
      <c r="F635" s="773" t="s">
        <v>1820</v>
      </c>
      <c r="G635" s="777">
        <v>88000000</v>
      </c>
      <c r="H635" s="757" t="s">
        <v>1743</v>
      </c>
      <c r="I635" s="775" t="s">
        <v>194</v>
      </c>
      <c r="J635" s="658" t="str">
        <f>VLOOKUP($I635,Prices!A:B,2,0)</f>
        <v>.</v>
      </c>
      <c r="K635" s="790" t="s">
        <v>194</v>
      </c>
      <c r="L635" s="788" t="s">
        <v>194</v>
      </c>
      <c r="M635" s="788" t="s">
        <v>194</v>
      </c>
      <c r="N635" s="647" t="str">
        <f>VLOOKUP($I635,Prices!A:D,4,0)</f>
        <v>.</v>
      </c>
      <c r="O635" s="769" t="s">
        <v>194</v>
      </c>
      <c r="P635" s="793" t="s">
        <v>194</v>
      </c>
      <c r="Q635" s="772">
        <f t="shared" ref="Q635:Q640" si="44">G635</f>
        <v>88000000</v>
      </c>
      <c r="R635" s="772">
        <f>Q635/VLOOKUP(H634,'Currency Conversion'!B2:C14,2,0)</f>
        <v>102566493.39145435</v>
      </c>
      <c r="S635" s="749" t="s">
        <v>194</v>
      </c>
      <c r="T635" s="757" t="s">
        <v>195</v>
      </c>
      <c r="U635" s="756" t="s">
        <v>1759</v>
      </c>
      <c r="V635" s="783" t="s">
        <v>194</v>
      </c>
      <c r="W635" s="783" t="s">
        <v>194</v>
      </c>
      <c r="X635" s="766" t="s">
        <v>194</v>
      </c>
      <c r="Y635" s="759">
        <v>0</v>
      </c>
      <c r="Z635" s="761">
        <v>0</v>
      </c>
      <c r="AA635" s="799" t="s">
        <v>194</v>
      </c>
      <c r="AB635" s="775"/>
      <c r="AC635" s="775"/>
      <c r="AD635" s="775"/>
      <c r="AE635" s="775"/>
      <c r="AF635" s="775"/>
      <c r="AG635" s="775"/>
      <c r="AH635" s="775"/>
      <c r="AI635" s="775"/>
      <c r="AJ635" s="775"/>
      <c r="AK635" s="775"/>
      <c r="AL635" s="775"/>
      <c r="AM635" s="775"/>
      <c r="AN635" s="775"/>
      <c r="AO635" s="775"/>
      <c r="AP635" s="775"/>
    </row>
    <row r="636" spans="1:42" s="141" customFormat="1" ht="84.95" customHeight="1">
      <c r="A636" s="775" t="s">
        <v>1821</v>
      </c>
      <c r="B636" s="775" t="s">
        <v>1741</v>
      </c>
      <c r="C636" s="780">
        <v>44615</v>
      </c>
      <c r="D636" s="775" t="s">
        <v>292</v>
      </c>
      <c r="E636" s="775" t="s">
        <v>351</v>
      </c>
      <c r="F636" s="656" t="s">
        <v>1822</v>
      </c>
      <c r="G636" s="777">
        <v>500000000</v>
      </c>
      <c r="H636" s="757" t="s">
        <v>1743</v>
      </c>
      <c r="I636" s="775" t="s">
        <v>194</v>
      </c>
      <c r="J636" s="658" t="str">
        <f>VLOOKUP($I636,Prices!A:B,2,0)</f>
        <v>.</v>
      </c>
      <c r="K636" s="790" t="s">
        <v>194</v>
      </c>
      <c r="L636" s="788" t="s">
        <v>194</v>
      </c>
      <c r="M636" s="788" t="s">
        <v>194</v>
      </c>
      <c r="N636" s="707" t="str">
        <f>VLOOKUP($I636,Prices!A:D,4,0)</f>
        <v>.</v>
      </c>
      <c r="O636" s="769" t="s">
        <v>194</v>
      </c>
      <c r="P636" s="793" t="s">
        <v>194</v>
      </c>
      <c r="Q636" s="772">
        <f t="shared" si="44"/>
        <v>500000000</v>
      </c>
      <c r="R636" s="772">
        <f>Q636/VLOOKUP(H636,'Currency Conversion'!B3:C15,2,0)</f>
        <v>582764166.99689972</v>
      </c>
      <c r="S636" s="749" t="s">
        <v>194</v>
      </c>
      <c r="T636" s="759" t="s">
        <v>195</v>
      </c>
      <c r="U636" s="756" t="s">
        <v>1748</v>
      </c>
      <c r="V636" s="783" t="s">
        <v>194</v>
      </c>
      <c r="W636" s="783" t="s">
        <v>194</v>
      </c>
      <c r="X636" s="766" t="s">
        <v>194</v>
      </c>
      <c r="Y636" s="759">
        <v>0</v>
      </c>
      <c r="Z636" s="761">
        <v>0</v>
      </c>
      <c r="AA636" s="799" t="s">
        <v>194</v>
      </c>
      <c r="AB636" s="775"/>
      <c r="AC636" s="775"/>
      <c r="AD636" s="775"/>
      <c r="AE636" s="775"/>
      <c r="AF636" s="775"/>
      <c r="AG636" s="775"/>
      <c r="AH636" s="775"/>
      <c r="AI636" s="775"/>
      <c r="AJ636" s="775"/>
      <c r="AK636" s="775"/>
      <c r="AL636" s="775"/>
      <c r="AM636" s="775"/>
      <c r="AN636" s="775"/>
      <c r="AO636" s="775"/>
      <c r="AP636" s="775"/>
    </row>
    <row r="637" spans="1:42" s="141" customFormat="1" ht="182.25" customHeight="1">
      <c r="A637" s="775" t="s">
        <v>1823</v>
      </c>
      <c r="B637" s="775" t="s">
        <v>1741</v>
      </c>
      <c r="C637" s="780">
        <v>44627</v>
      </c>
      <c r="D637" s="775" t="s">
        <v>292</v>
      </c>
      <c r="E637" s="775" t="s">
        <v>276</v>
      </c>
      <c r="F637" s="773" t="s">
        <v>1824</v>
      </c>
      <c r="G637" s="777">
        <v>74000000</v>
      </c>
      <c r="H637" s="757" t="s">
        <v>1743</v>
      </c>
      <c r="I637" s="775" t="s">
        <v>194</v>
      </c>
      <c r="J637" s="658" t="str">
        <f>VLOOKUP($I637,Prices!A:B,2,0)</f>
        <v>.</v>
      </c>
      <c r="K637" s="790" t="s">
        <v>194</v>
      </c>
      <c r="L637" s="788" t="s">
        <v>194</v>
      </c>
      <c r="M637" s="788" t="s">
        <v>194</v>
      </c>
      <c r="N637" s="647" t="str">
        <f>VLOOKUP($I637,Prices!A:D,4,0)</f>
        <v>.</v>
      </c>
      <c r="O637" s="769" t="s">
        <v>194</v>
      </c>
      <c r="P637" s="793" t="s">
        <v>194</v>
      </c>
      <c r="Q637" s="772">
        <f t="shared" si="44"/>
        <v>74000000</v>
      </c>
      <c r="R637" s="772">
        <f>Q637/VLOOKUP(H637,'Currency Conversion'!B4:C16,2,0)</f>
        <v>86249096.715541154</v>
      </c>
      <c r="S637" s="749" t="s">
        <v>194</v>
      </c>
      <c r="T637" s="759" t="s">
        <v>195</v>
      </c>
      <c r="U637" s="756" t="s">
        <v>663</v>
      </c>
      <c r="V637" s="756" t="s">
        <v>1825</v>
      </c>
      <c r="W637" s="783" t="s">
        <v>194</v>
      </c>
      <c r="X637" s="766" t="s">
        <v>194</v>
      </c>
      <c r="Y637" s="759">
        <v>1</v>
      </c>
      <c r="Z637" s="757">
        <v>0</v>
      </c>
      <c r="AA637" s="799" t="s">
        <v>194</v>
      </c>
      <c r="AB637" s="775"/>
      <c r="AC637" s="775"/>
      <c r="AD637" s="775"/>
      <c r="AE637" s="775"/>
      <c r="AF637" s="775"/>
      <c r="AG637" s="775"/>
      <c r="AH637" s="775"/>
      <c r="AI637" s="775"/>
      <c r="AJ637" s="775"/>
      <c r="AK637" s="775"/>
      <c r="AL637" s="775"/>
      <c r="AM637" s="775"/>
      <c r="AN637" s="775"/>
      <c r="AO637" s="775"/>
      <c r="AP637" s="775"/>
    </row>
    <row r="638" spans="1:42" s="141" customFormat="1" ht="49.5" customHeight="1">
      <c r="A638" s="775" t="s">
        <v>1826</v>
      </c>
      <c r="B638" s="775" t="s">
        <v>1741</v>
      </c>
      <c r="C638" s="780">
        <v>44644</v>
      </c>
      <c r="D638" s="775" t="s">
        <v>292</v>
      </c>
      <c r="E638" s="775" t="s">
        <v>276</v>
      </c>
      <c r="F638" s="773" t="s">
        <v>1827</v>
      </c>
      <c r="G638" s="777">
        <v>29100000</v>
      </c>
      <c r="H638" s="757" t="s">
        <v>1743</v>
      </c>
      <c r="I638" s="775" t="s">
        <v>194</v>
      </c>
      <c r="J638" s="658" t="str">
        <f>VLOOKUP($I638,Prices!A:B,2,0)</f>
        <v>.</v>
      </c>
      <c r="K638" s="790" t="s">
        <v>194</v>
      </c>
      <c r="L638" s="788" t="s">
        <v>194</v>
      </c>
      <c r="M638" s="788" t="s">
        <v>194</v>
      </c>
      <c r="N638" s="707" t="str">
        <f>VLOOKUP($I638,Prices!A:D,4,0)</f>
        <v>.</v>
      </c>
      <c r="O638" s="769" t="s">
        <v>194</v>
      </c>
      <c r="P638" s="793" t="s">
        <v>194</v>
      </c>
      <c r="Q638" s="772">
        <f t="shared" si="44"/>
        <v>29100000</v>
      </c>
      <c r="R638" s="772">
        <f>Q638/VLOOKUP(H638,'Currency Conversion'!$B$2:$C$16,2,0)</f>
        <v>33916874.519219562</v>
      </c>
      <c r="S638" s="749" t="s">
        <v>194</v>
      </c>
      <c r="T638" s="757" t="s">
        <v>195</v>
      </c>
      <c r="U638" s="756" t="s">
        <v>1781</v>
      </c>
      <c r="V638" s="756" t="s">
        <v>1775</v>
      </c>
      <c r="W638" s="756" t="s">
        <v>1828</v>
      </c>
      <c r="X638" s="766" t="s">
        <v>194</v>
      </c>
      <c r="Y638" s="759">
        <v>0</v>
      </c>
      <c r="Z638" s="761">
        <v>0</v>
      </c>
      <c r="AA638" s="799" t="s">
        <v>194</v>
      </c>
      <c r="AB638" s="775"/>
      <c r="AC638" s="775"/>
      <c r="AD638" s="775"/>
      <c r="AE638" s="775"/>
      <c r="AF638" s="775"/>
      <c r="AG638" s="775"/>
      <c r="AH638" s="775"/>
      <c r="AI638" s="775"/>
      <c r="AJ638" s="775"/>
      <c r="AK638" s="775"/>
      <c r="AL638" s="775"/>
      <c r="AM638" s="775"/>
      <c r="AN638" s="775"/>
      <c r="AO638" s="775"/>
      <c r="AP638" s="775"/>
    </row>
    <row r="639" spans="1:42" s="141" customFormat="1" ht="49.5" customHeight="1">
      <c r="A639" s="775" t="s">
        <v>1829</v>
      </c>
      <c r="B639" s="775" t="s">
        <v>1741</v>
      </c>
      <c r="C639" s="780">
        <v>44673</v>
      </c>
      <c r="D639" s="775" t="s">
        <v>292</v>
      </c>
      <c r="E639" s="775" t="s">
        <v>804</v>
      </c>
      <c r="F639" s="773" t="s">
        <v>1830</v>
      </c>
      <c r="G639" s="777">
        <v>730000000</v>
      </c>
      <c r="H639" s="757" t="s">
        <v>1743</v>
      </c>
      <c r="I639" s="775" t="s">
        <v>194</v>
      </c>
      <c r="J639" s="658" t="str">
        <f>VLOOKUP($I639,Prices!A:B,2,0)</f>
        <v>.</v>
      </c>
      <c r="K639" s="790" t="s">
        <v>194</v>
      </c>
      <c r="L639" s="788" t="s">
        <v>194</v>
      </c>
      <c r="M639" s="788" t="s">
        <v>194</v>
      </c>
      <c r="N639" s="647" t="str">
        <f>VLOOKUP($I639,Prices!A:D,4,0)</f>
        <v>.</v>
      </c>
      <c r="O639" s="769" t="s">
        <v>194</v>
      </c>
      <c r="P639" s="793" t="s">
        <v>194</v>
      </c>
      <c r="Q639" s="772">
        <f t="shared" si="44"/>
        <v>730000000</v>
      </c>
      <c r="R639" s="772">
        <f>Q639/VLOOKUP(H639,'Currency Conversion'!$B$2:$C$16,2,0)</f>
        <v>850835683.81547356</v>
      </c>
      <c r="S639" s="749" t="s">
        <v>194</v>
      </c>
      <c r="T639" s="757" t="s">
        <v>195</v>
      </c>
      <c r="U639" s="756" t="s">
        <v>1825</v>
      </c>
      <c r="V639" s="783" t="s">
        <v>194</v>
      </c>
      <c r="W639" s="783" t="s">
        <v>194</v>
      </c>
      <c r="X639" s="766" t="s">
        <v>194</v>
      </c>
      <c r="Y639" s="759">
        <v>0</v>
      </c>
      <c r="Z639" s="757">
        <v>0</v>
      </c>
      <c r="AA639" s="799" t="s">
        <v>194</v>
      </c>
      <c r="AB639" s="775"/>
      <c r="AC639" s="775"/>
      <c r="AD639" s="775"/>
      <c r="AE639" s="775"/>
      <c r="AF639" s="775"/>
      <c r="AG639" s="775"/>
      <c r="AH639" s="775"/>
      <c r="AI639" s="775"/>
      <c r="AJ639" s="775"/>
      <c r="AK639" s="775"/>
      <c r="AL639" s="775"/>
      <c r="AM639" s="775"/>
      <c r="AN639" s="775"/>
      <c r="AO639" s="775"/>
      <c r="AP639" s="775"/>
    </row>
    <row r="640" spans="1:42" s="141" customFormat="1" ht="106.5" customHeight="1">
      <c r="A640" s="775" t="s">
        <v>1831</v>
      </c>
      <c r="B640" s="775" t="s">
        <v>1741</v>
      </c>
      <c r="C640" s="780">
        <v>44673</v>
      </c>
      <c r="D640" s="775" t="s">
        <v>292</v>
      </c>
      <c r="E640" s="775" t="s">
        <v>276</v>
      </c>
      <c r="F640" s="773" t="s">
        <v>1832</v>
      </c>
      <c r="G640" s="777">
        <v>320000000</v>
      </c>
      <c r="H640" s="757" t="s">
        <v>1743</v>
      </c>
      <c r="I640" s="775" t="s">
        <v>194</v>
      </c>
      <c r="J640" s="658" t="str">
        <f>VLOOKUP($I640,Prices!A:B,2,0)</f>
        <v>.</v>
      </c>
      <c r="K640" s="790" t="s">
        <v>194</v>
      </c>
      <c r="L640" s="788" t="s">
        <v>194</v>
      </c>
      <c r="M640" s="788" t="s">
        <v>194</v>
      </c>
      <c r="N640" s="707" t="str">
        <f>VLOOKUP($I640,Prices!A:D,4,0)</f>
        <v>.</v>
      </c>
      <c r="O640" s="769" t="s">
        <v>194</v>
      </c>
      <c r="P640" s="793" t="s">
        <v>194</v>
      </c>
      <c r="Q640" s="772">
        <f t="shared" si="44"/>
        <v>320000000</v>
      </c>
      <c r="R640" s="772">
        <f>Q640/VLOOKUP(H640,'Currency Conversion'!$B$2:$C$16,2,0)</f>
        <v>372969066.87801582</v>
      </c>
      <c r="S640" s="749" t="s">
        <v>194</v>
      </c>
      <c r="T640" s="757" t="s">
        <v>195</v>
      </c>
      <c r="U640" s="756" t="s">
        <v>1825</v>
      </c>
      <c r="V640" s="783" t="s">
        <v>194</v>
      </c>
      <c r="W640" s="783" t="s">
        <v>194</v>
      </c>
      <c r="X640" s="766" t="s">
        <v>194</v>
      </c>
      <c r="Y640" s="759">
        <v>0</v>
      </c>
      <c r="Z640" s="757">
        <v>0</v>
      </c>
      <c r="AA640" s="799" t="s">
        <v>194</v>
      </c>
      <c r="AB640" s="775"/>
      <c r="AC640" s="775"/>
      <c r="AD640" s="775"/>
      <c r="AE640" s="775"/>
      <c r="AF640" s="775"/>
      <c r="AG640" s="775"/>
      <c r="AH640" s="775"/>
      <c r="AI640" s="775"/>
      <c r="AJ640" s="775"/>
      <c r="AK640" s="775"/>
      <c r="AL640" s="775"/>
      <c r="AM640" s="775"/>
      <c r="AN640" s="775"/>
      <c r="AO640" s="775"/>
      <c r="AP640" s="775"/>
    </row>
    <row r="641" spans="1:42" s="637" customFormat="1" ht="87.75" customHeight="1">
      <c r="A641" s="766" t="s">
        <v>1833</v>
      </c>
      <c r="B641" s="766" t="s">
        <v>1741</v>
      </c>
      <c r="C641" s="776">
        <v>44700</v>
      </c>
      <c r="D641" s="766" t="s">
        <v>292</v>
      </c>
      <c r="E641" s="766" t="s">
        <v>276</v>
      </c>
      <c r="F641" s="765" t="s">
        <v>1834</v>
      </c>
      <c r="G641" s="807">
        <v>50000000</v>
      </c>
      <c r="H641" s="759" t="s">
        <v>260</v>
      </c>
      <c r="I641" s="766" t="s">
        <v>194</v>
      </c>
      <c r="J641" s="658" t="str">
        <f>VLOOKUP($I641,Prices!A:B,2,0)</f>
        <v>.</v>
      </c>
      <c r="K641" s="790" t="s">
        <v>194</v>
      </c>
      <c r="L641" s="665" t="s">
        <v>194</v>
      </c>
      <c r="M641" s="665" t="s">
        <v>194</v>
      </c>
      <c r="N641" s="647" t="str">
        <f>VLOOKUP($I641,Prices!A:D,4,0)</f>
        <v>.</v>
      </c>
      <c r="O641" s="769" t="s">
        <v>194</v>
      </c>
      <c r="P641" s="793" t="s">
        <v>194</v>
      </c>
      <c r="Q641" s="778">
        <f>G641</f>
        <v>50000000</v>
      </c>
      <c r="R641" s="778">
        <f>Q641/VLOOKUP(H641,'Currency Conversion'!$B$2:$C$16,2,0)</f>
        <v>47348484.848484844</v>
      </c>
      <c r="S641" s="790" t="s">
        <v>194</v>
      </c>
      <c r="T641" s="759" t="s">
        <v>298</v>
      </c>
      <c r="U641" s="756" t="s">
        <v>1835</v>
      </c>
      <c r="V641" s="783" t="s">
        <v>194</v>
      </c>
      <c r="W641" s="783" t="s">
        <v>194</v>
      </c>
      <c r="X641" s="766" t="s">
        <v>194</v>
      </c>
      <c r="Y641" s="759">
        <v>0</v>
      </c>
      <c r="Z641" s="759">
        <v>0</v>
      </c>
      <c r="AA641" s="679" t="s">
        <v>194</v>
      </c>
      <c r="AB641" s="766"/>
      <c r="AC641" s="766"/>
      <c r="AD641" s="766"/>
      <c r="AE641" s="766"/>
      <c r="AF641" s="766"/>
      <c r="AG641" s="766"/>
      <c r="AH641" s="766"/>
      <c r="AI641" s="766"/>
      <c r="AJ641" s="766"/>
      <c r="AK641" s="766"/>
      <c r="AL641" s="766"/>
      <c r="AM641" s="766"/>
      <c r="AN641" s="766"/>
      <c r="AO641" s="766"/>
      <c r="AP641" s="766"/>
    </row>
    <row r="642" spans="1:42" s="141" customFormat="1" ht="50.25" customHeight="1">
      <c r="A642" s="775" t="s">
        <v>1836</v>
      </c>
      <c r="B642" s="775" t="s">
        <v>1837</v>
      </c>
      <c r="C642" s="780">
        <v>44619</v>
      </c>
      <c r="D642" s="775" t="s">
        <v>190</v>
      </c>
      <c r="E642" s="775" t="s">
        <v>375</v>
      </c>
      <c r="F642" s="773" t="s">
        <v>1838</v>
      </c>
      <c r="G642" s="778">
        <v>54000000</v>
      </c>
      <c r="H642" s="757" t="s">
        <v>260</v>
      </c>
      <c r="I642" s="775" t="s">
        <v>194</v>
      </c>
      <c r="J642" s="658" t="str">
        <f>VLOOKUP($I642,Prices!A:B,2,0)</f>
        <v>.</v>
      </c>
      <c r="K642" s="790" t="s">
        <v>194</v>
      </c>
      <c r="L642" s="665" t="s">
        <v>194</v>
      </c>
      <c r="M642" s="788" t="s">
        <v>194</v>
      </c>
      <c r="N642" s="707" t="str">
        <f>VLOOKUP($I642,Prices!A:D,4,0)</f>
        <v>.</v>
      </c>
      <c r="O642" s="769" t="s">
        <v>194</v>
      </c>
      <c r="P642" s="793" t="s">
        <v>194</v>
      </c>
      <c r="Q642" s="778">
        <f t="shared" ref="Q642:Q645" si="45">G642</f>
        <v>54000000</v>
      </c>
      <c r="R642" s="772">
        <f>Q642/VLOOKUP(H642,'Currency Conversion'!$B$2:$C$16,2,0)</f>
        <v>51136363.636363633</v>
      </c>
      <c r="S642" s="749" t="s">
        <v>194</v>
      </c>
      <c r="T642" s="757" t="s">
        <v>195</v>
      </c>
      <c r="U642" s="756" t="s">
        <v>1839</v>
      </c>
      <c r="V642" s="756" t="s">
        <v>1840</v>
      </c>
      <c r="W642" s="783" t="s">
        <v>194</v>
      </c>
      <c r="X642" s="766" t="s">
        <v>194</v>
      </c>
      <c r="Y642" s="759">
        <v>0</v>
      </c>
      <c r="Z642" s="761">
        <v>0</v>
      </c>
      <c r="AA642" s="799" t="s">
        <v>194</v>
      </c>
      <c r="AB642" s="775"/>
      <c r="AC642" s="775"/>
      <c r="AD642" s="775"/>
      <c r="AE642" s="775"/>
      <c r="AF642" s="775"/>
      <c r="AG642" s="775"/>
      <c r="AH642" s="775"/>
      <c r="AI642" s="775"/>
      <c r="AJ642" s="775"/>
      <c r="AK642" s="775"/>
      <c r="AL642" s="775"/>
      <c r="AM642" s="775"/>
      <c r="AN642" s="775"/>
      <c r="AO642" s="775"/>
      <c r="AP642" s="775"/>
    </row>
    <row r="643" spans="1:42" s="141" customFormat="1" ht="79.5" customHeight="1">
      <c r="A643" s="775" t="s">
        <v>1841</v>
      </c>
      <c r="B643" s="775" t="s">
        <v>1837</v>
      </c>
      <c r="C643" s="780">
        <v>44630</v>
      </c>
      <c r="D643" s="775" t="s">
        <v>190</v>
      </c>
      <c r="E643" s="775" t="s">
        <v>375</v>
      </c>
      <c r="F643" s="773" t="s">
        <v>1842</v>
      </c>
      <c r="G643" s="778">
        <v>53000000</v>
      </c>
      <c r="H643" s="757" t="s">
        <v>260</v>
      </c>
      <c r="I643" s="775" t="s">
        <v>194</v>
      </c>
      <c r="J643" s="658" t="str">
        <f>VLOOKUP($I643,Prices!A:B,2,0)</f>
        <v>.</v>
      </c>
      <c r="K643" s="790" t="s">
        <v>194</v>
      </c>
      <c r="L643" s="665" t="s">
        <v>194</v>
      </c>
      <c r="M643" s="788" t="s">
        <v>194</v>
      </c>
      <c r="N643" s="647" t="str">
        <f>VLOOKUP($I643,Prices!A:D,4,0)</f>
        <v>.</v>
      </c>
      <c r="O643" s="769" t="s">
        <v>194</v>
      </c>
      <c r="P643" s="793" t="s">
        <v>194</v>
      </c>
      <c r="Q643" s="778">
        <f t="shared" si="45"/>
        <v>53000000</v>
      </c>
      <c r="R643" s="772">
        <f>Q643/VLOOKUP(H643,'Currency Conversion'!$B$2:$C$16,2,0)</f>
        <v>50189393.939393938</v>
      </c>
      <c r="S643" s="749" t="s">
        <v>194</v>
      </c>
      <c r="T643" s="757" t="s">
        <v>195</v>
      </c>
      <c r="U643" s="756" t="s">
        <v>1843</v>
      </c>
      <c r="V643" s="756" t="s">
        <v>1844</v>
      </c>
      <c r="W643" s="756" t="s">
        <v>1840</v>
      </c>
      <c r="X643" s="766" t="s">
        <v>194</v>
      </c>
      <c r="Y643" s="759">
        <v>0</v>
      </c>
      <c r="Z643" s="761">
        <v>0</v>
      </c>
      <c r="AA643" s="799" t="s">
        <v>194</v>
      </c>
      <c r="AB643" s="775"/>
      <c r="AC643" s="775"/>
      <c r="AD643" s="775"/>
      <c r="AE643" s="775"/>
      <c r="AF643" s="775"/>
      <c r="AG643" s="775"/>
      <c r="AH643" s="775"/>
      <c r="AI643" s="775"/>
      <c r="AJ643" s="775"/>
      <c r="AK643" s="775"/>
      <c r="AL643" s="775"/>
      <c r="AM643" s="775"/>
      <c r="AN643" s="775"/>
      <c r="AO643" s="775"/>
      <c r="AP643" s="775"/>
    </row>
    <row r="644" spans="1:42" s="141" customFormat="1" ht="135" customHeight="1">
      <c r="A644" s="775" t="s">
        <v>1845</v>
      </c>
      <c r="B644" s="775" t="s">
        <v>1837</v>
      </c>
      <c r="C644" s="780">
        <v>44635</v>
      </c>
      <c r="D644" s="775" t="s">
        <v>190</v>
      </c>
      <c r="E644" s="775" t="s">
        <v>190</v>
      </c>
      <c r="F644" s="773" t="s">
        <v>1846</v>
      </c>
      <c r="G644" s="772">
        <v>3446000000</v>
      </c>
      <c r="H644" s="757" t="s">
        <v>260</v>
      </c>
      <c r="I644" s="778" t="s">
        <v>194</v>
      </c>
      <c r="J644" s="658" t="str">
        <f>VLOOKUP($I644,Prices!A:B,2,0)</f>
        <v>.</v>
      </c>
      <c r="K644" s="790" t="s">
        <v>194</v>
      </c>
      <c r="L644" s="665" t="s">
        <v>194</v>
      </c>
      <c r="M644" s="788" t="s">
        <v>194</v>
      </c>
      <c r="N644" s="707" t="str">
        <f>VLOOKUP($I644,Prices!A:D,4,0)</f>
        <v>.</v>
      </c>
      <c r="O644" s="769" t="s">
        <v>194</v>
      </c>
      <c r="P644" s="793" t="s">
        <v>194</v>
      </c>
      <c r="Q644" s="772">
        <f t="shared" si="45"/>
        <v>3446000000</v>
      </c>
      <c r="R644" s="772">
        <f>Q644/VLOOKUP(H644,'Currency Conversion'!$B$2:$C$18,2,0)</f>
        <v>3263257575.7575755</v>
      </c>
      <c r="S644" s="749" t="s">
        <v>194</v>
      </c>
      <c r="T644" s="757" t="s">
        <v>195</v>
      </c>
      <c r="U644" s="756" t="s">
        <v>1847</v>
      </c>
      <c r="V644" s="756" t="s">
        <v>1848</v>
      </c>
      <c r="W644" s="756" t="s">
        <v>1849</v>
      </c>
      <c r="X644" s="766" t="s">
        <v>194</v>
      </c>
      <c r="Y644" s="759">
        <v>0</v>
      </c>
      <c r="Z644" s="757">
        <v>0</v>
      </c>
      <c r="AA644" s="799" t="s">
        <v>194</v>
      </c>
      <c r="AB644" s="775"/>
      <c r="AC644" s="775"/>
      <c r="AD644" s="775"/>
      <c r="AE644" s="775"/>
      <c r="AF644" s="775"/>
      <c r="AG644" s="775"/>
      <c r="AH644" s="775"/>
      <c r="AI644" s="775"/>
      <c r="AJ644" s="775"/>
      <c r="AK644" s="775"/>
      <c r="AL644" s="775"/>
      <c r="AM644" s="775"/>
      <c r="AN644" s="775"/>
      <c r="AO644" s="775"/>
      <c r="AP644" s="775"/>
    </row>
    <row r="645" spans="1:42" s="141" customFormat="1" ht="44.25" customHeight="1">
      <c r="A645" s="775" t="s">
        <v>1850</v>
      </c>
      <c r="B645" s="775" t="s">
        <v>1837</v>
      </c>
      <c r="C645" s="780">
        <v>44644</v>
      </c>
      <c r="D645" s="775" t="s">
        <v>190</v>
      </c>
      <c r="E645" s="775" t="s">
        <v>375</v>
      </c>
      <c r="F645" s="773" t="s">
        <v>1851</v>
      </c>
      <c r="G645" s="777">
        <v>6100000</v>
      </c>
      <c r="H645" s="757" t="s">
        <v>260</v>
      </c>
      <c r="I645" s="775" t="s">
        <v>194</v>
      </c>
      <c r="J645" s="658" t="str">
        <f>VLOOKUP($I645,Prices!A:B,2,0)</f>
        <v>.</v>
      </c>
      <c r="K645" s="790" t="s">
        <v>194</v>
      </c>
      <c r="L645" s="788" t="s">
        <v>194</v>
      </c>
      <c r="M645" s="788" t="s">
        <v>194</v>
      </c>
      <c r="N645" s="647" t="str">
        <f>VLOOKUP($I645,Prices!A:D,4,0)</f>
        <v>.</v>
      </c>
      <c r="O645" s="769" t="s">
        <v>194</v>
      </c>
      <c r="P645" s="793" t="s">
        <v>194</v>
      </c>
      <c r="Q645" s="772">
        <f t="shared" si="45"/>
        <v>6100000</v>
      </c>
      <c r="R645" s="772">
        <f>Q645/VLOOKUP(H645,'Currency Conversion'!$B$2:$C$16,2,0)</f>
        <v>5776515.1515151514</v>
      </c>
      <c r="S645" s="749" t="s">
        <v>194</v>
      </c>
      <c r="T645" s="757" t="s">
        <v>195</v>
      </c>
      <c r="U645" s="756" t="s">
        <v>1852</v>
      </c>
      <c r="V645" s="756" t="s">
        <v>1853</v>
      </c>
      <c r="W645" s="773" t="s">
        <v>194</v>
      </c>
      <c r="X645" s="784" t="s">
        <v>194</v>
      </c>
      <c r="Y645" s="759">
        <v>0</v>
      </c>
      <c r="Z645" s="761">
        <v>0</v>
      </c>
      <c r="AA645" s="799" t="s">
        <v>194</v>
      </c>
      <c r="AB645" s="775"/>
      <c r="AC645" s="775"/>
      <c r="AD645" s="775"/>
      <c r="AE645" s="775"/>
      <c r="AF645" s="775"/>
      <c r="AG645" s="775"/>
      <c r="AH645" s="775"/>
      <c r="AI645" s="775"/>
      <c r="AJ645" s="775"/>
      <c r="AK645" s="775"/>
      <c r="AL645" s="775"/>
      <c r="AM645" s="775"/>
      <c r="AN645" s="775"/>
      <c r="AO645" s="775"/>
      <c r="AP645" s="775"/>
    </row>
    <row r="646" spans="1:42" s="141" customFormat="1" ht="158.25" customHeight="1">
      <c r="A646" s="775" t="s">
        <v>1854</v>
      </c>
      <c r="B646" s="775" t="s">
        <v>1837</v>
      </c>
      <c r="C646" s="780">
        <v>44644</v>
      </c>
      <c r="D646" s="775" t="s">
        <v>190</v>
      </c>
      <c r="E646" s="775" t="s">
        <v>191</v>
      </c>
      <c r="F646" s="773" t="s">
        <v>1855</v>
      </c>
      <c r="G646" s="777">
        <v>320000000</v>
      </c>
      <c r="H646" s="757" t="s">
        <v>260</v>
      </c>
      <c r="I646" s="775" t="s">
        <v>194</v>
      </c>
      <c r="J646" s="658" t="str">
        <f>VLOOKUP($I646,Prices!A:B,2,0)</f>
        <v>.</v>
      </c>
      <c r="K646" s="790" t="s">
        <v>194</v>
      </c>
      <c r="L646" s="788" t="s">
        <v>194</v>
      </c>
      <c r="M646" s="788" t="s">
        <v>194</v>
      </c>
      <c r="N646" s="707" t="str">
        <f>VLOOKUP($I646,Prices!A:D,4,0)</f>
        <v>.</v>
      </c>
      <c r="O646" s="769" t="s">
        <v>194</v>
      </c>
      <c r="P646" s="793" t="s">
        <v>194</v>
      </c>
      <c r="Q646" s="772">
        <f>G646</f>
        <v>320000000</v>
      </c>
      <c r="R646" s="772">
        <f>Q646/VLOOKUP(H646,'Currency Conversion'!$B$2:$C$16,2,0)</f>
        <v>303030303.030303</v>
      </c>
      <c r="S646" s="749" t="s">
        <v>194</v>
      </c>
      <c r="T646" s="757" t="s">
        <v>195</v>
      </c>
      <c r="U646" s="756" t="s">
        <v>1852</v>
      </c>
      <c r="V646" s="773" t="s">
        <v>194</v>
      </c>
      <c r="W646" s="773" t="s">
        <v>194</v>
      </c>
      <c r="X646" s="784" t="s">
        <v>194</v>
      </c>
      <c r="Y646" s="759">
        <v>0</v>
      </c>
      <c r="Z646" s="761">
        <v>0</v>
      </c>
      <c r="AA646" s="799" t="s">
        <v>194</v>
      </c>
      <c r="AB646" s="775"/>
      <c r="AC646" s="775"/>
      <c r="AD646" s="775"/>
      <c r="AE646" s="775"/>
      <c r="AF646" s="775"/>
      <c r="AG646" s="775"/>
      <c r="AH646" s="775"/>
      <c r="AI646" s="775"/>
      <c r="AJ646" s="775"/>
      <c r="AK646" s="775"/>
      <c r="AL646" s="775"/>
      <c r="AM646" s="775"/>
      <c r="AN646" s="775"/>
      <c r="AO646" s="775"/>
      <c r="AP646" s="775"/>
    </row>
    <row r="647" spans="1:42" s="141" customFormat="1" ht="244.5" customHeight="1">
      <c r="A647" s="775" t="s">
        <v>1856</v>
      </c>
      <c r="B647" s="775" t="s">
        <v>1837</v>
      </c>
      <c r="C647" s="780">
        <v>44644</v>
      </c>
      <c r="D647" s="775" t="s">
        <v>190</v>
      </c>
      <c r="E647" s="775" t="s">
        <v>191</v>
      </c>
      <c r="F647" s="773" t="s">
        <v>1857</v>
      </c>
      <c r="G647" s="777">
        <v>1000000000</v>
      </c>
      <c r="H647" s="757" t="s">
        <v>260</v>
      </c>
      <c r="I647" s="775" t="s">
        <v>194</v>
      </c>
      <c r="J647" s="658" t="str">
        <f>VLOOKUP($I647,Prices!A:B,2,0)</f>
        <v>.</v>
      </c>
      <c r="K647" s="790" t="s">
        <v>194</v>
      </c>
      <c r="L647" s="788" t="s">
        <v>194</v>
      </c>
      <c r="M647" s="788" t="s">
        <v>194</v>
      </c>
      <c r="N647" s="647" t="str">
        <f>VLOOKUP($I647,Prices!A:D,4,0)</f>
        <v>.</v>
      </c>
      <c r="O647" s="769" t="s">
        <v>194</v>
      </c>
      <c r="P647" s="793" t="s">
        <v>194</v>
      </c>
      <c r="Q647" s="772">
        <f>G647</f>
        <v>1000000000</v>
      </c>
      <c r="R647" s="772">
        <f>Q647/VLOOKUP(H647,'Currency Conversion'!$B$2:$C$16,2,0)</f>
        <v>946969696.96969688</v>
      </c>
      <c r="S647" s="749" t="s">
        <v>194</v>
      </c>
      <c r="T647" s="757" t="s">
        <v>195</v>
      </c>
      <c r="U647" s="756" t="s">
        <v>1858</v>
      </c>
      <c r="V647" s="756" t="s">
        <v>1859</v>
      </c>
      <c r="W647" s="773" t="s">
        <v>194</v>
      </c>
      <c r="X647" s="784" t="s">
        <v>194</v>
      </c>
      <c r="Y647" s="759">
        <v>0</v>
      </c>
      <c r="Z647" s="761">
        <v>0</v>
      </c>
      <c r="AA647" s="799" t="s">
        <v>194</v>
      </c>
      <c r="AB647" s="775"/>
      <c r="AC647" s="775"/>
      <c r="AD647" s="775"/>
      <c r="AE647" s="775"/>
      <c r="AF647" s="775"/>
      <c r="AG647" s="775"/>
      <c r="AH647" s="775"/>
      <c r="AI647" s="775"/>
      <c r="AJ647" s="775"/>
      <c r="AK647" s="775"/>
      <c r="AL647" s="775"/>
      <c r="AM647" s="775"/>
      <c r="AN647" s="775"/>
      <c r="AO647" s="775"/>
      <c r="AP647" s="775"/>
    </row>
    <row r="648" spans="1:42" s="141" customFormat="1" ht="244.5" customHeight="1">
      <c r="A648" s="775" t="s">
        <v>1860</v>
      </c>
      <c r="B648" s="775" t="s">
        <v>1837</v>
      </c>
      <c r="C648" s="780">
        <v>44691</v>
      </c>
      <c r="D648" s="775" t="s">
        <v>190</v>
      </c>
      <c r="E648" s="775" t="s">
        <v>191</v>
      </c>
      <c r="F648" s="773" t="s">
        <v>1861</v>
      </c>
      <c r="G648" s="777">
        <v>4350000000</v>
      </c>
      <c r="H648" s="757" t="s">
        <v>260</v>
      </c>
      <c r="I648" s="775" t="s">
        <v>194</v>
      </c>
      <c r="J648" s="658" t="str">
        <f>VLOOKUP($I648,Prices!A:B,2,0)</f>
        <v>.</v>
      </c>
      <c r="K648" s="790" t="s">
        <v>194</v>
      </c>
      <c r="L648" s="788" t="s">
        <v>194</v>
      </c>
      <c r="M648" s="788" t="s">
        <v>194</v>
      </c>
      <c r="N648" s="707" t="str">
        <f>VLOOKUP($I648,Prices!A:D,4,0)</f>
        <v>.</v>
      </c>
      <c r="O648" s="769" t="s">
        <v>194</v>
      </c>
      <c r="P648" s="793" t="s">
        <v>194</v>
      </c>
      <c r="Q648" s="772">
        <f>G648</f>
        <v>4350000000</v>
      </c>
      <c r="R648" s="772">
        <f>Q648/VLOOKUP(H648,'Currency Conversion'!$B$2:$C$16,2,0)</f>
        <v>4119318181.8181815</v>
      </c>
      <c r="S648" s="749" t="s">
        <v>194</v>
      </c>
      <c r="T648" s="757" t="s">
        <v>195</v>
      </c>
      <c r="U648" s="756" t="s">
        <v>1862</v>
      </c>
      <c r="V648" s="773" t="s">
        <v>194</v>
      </c>
      <c r="W648" s="773" t="s">
        <v>194</v>
      </c>
      <c r="X648" s="784" t="s">
        <v>194</v>
      </c>
      <c r="Y648" s="759">
        <v>0</v>
      </c>
      <c r="Z648" s="757">
        <v>0</v>
      </c>
      <c r="AA648" s="799" t="s">
        <v>194</v>
      </c>
      <c r="AB648" s="775"/>
      <c r="AC648" s="775"/>
      <c r="AD648" s="775"/>
      <c r="AE648" s="775"/>
      <c r="AF648" s="775"/>
      <c r="AG648" s="775"/>
      <c r="AH648" s="775"/>
      <c r="AI648" s="775"/>
      <c r="AJ648" s="775"/>
      <c r="AK648" s="775"/>
      <c r="AL648" s="775"/>
      <c r="AM648" s="775"/>
      <c r="AN648" s="775"/>
      <c r="AO648" s="775"/>
      <c r="AP648" s="775"/>
    </row>
    <row r="649" spans="1:42" s="141" customFormat="1" ht="149.25" customHeight="1">
      <c r="A649" s="775" t="s">
        <v>1863</v>
      </c>
      <c r="B649" s="775" t="s">
        <v>1837</v>
      </c>
      <c r="C649" s="780">
        <v>44691</v>
      </c>
      <c r="D649" s="775" t="s">
        <v>190</v>
      </c>
      <c r="E649" s="775" t="s">
        <v>191</v>
      </c>
      <c r="F649" s="773" t="s">
        <v>1864</v>
      </c>
      <c r="G649" s="777">
        <v>2000000</v>
      </c>
      <c r="H649" s="757" t="s">
        <v>260</v>
      </c>
      <c r="I649" s="775" t="s">
        <v>194</v>
      </c>
      <c r="J649" s="658" t="str">
        <f>VLOOKUP($I649,Prices!A:B,2,0)</f>
        <v>.</v>
      </c>
      <c r="K649" s="790" t="s">
        <v>194</v>
      </c>
      <c r="L649" s="788" t="s">
        <v>194</v>
      </c>
      <c r="M649" s="788" t="s">
        <v>194</v>
      </c>
      <c r="N649" s="647" t="str">
        <f>VLOOKUP($I649,Prices!A:D,4,0)</f>
        <v>.</v>
      </c>
      <c r="O649" s="769" t="s">
        <v>194</v>
      </c>
      <c r="P649" s="793" t="s">
        <v>194</v>
      </c>
      <c r="Q649" s="772">
        <f>G649</f>
        <v>2000000</v>
      </c>
      <c r="R649" s="772">
        <f>Q649/VLOOKUP(H649,'Currency Conversion'!$B$2:$C$16,2,0)</f>
        <v>1893939.3939393938</v>
      </c>
      <c r="S649" s="749" t="s">
        <v>194</v>
      </c>
      <c r="T649" s="757" t="s">
        <v>195</v>
      </c>
      <c r="U649" s="756" t="s">
        <v>1862</v>
      </c>
      <c r="V649" s="773" t="s">
        <v>194</v>
      </c>
      <c r="W649" s="773" t="s">
        <v>194</v>
      </c>
      <c r="X649" s="784" t="s">
        <v>194</v>
      </c>
      <c r="Y649" s="759">
        <v>0</v>
      </c>
      <c r="Z649" s="757">
        <v>0</v>
      </c>
      <c r="AA649" s="799" t="s">
        <v>194</v>
      </c>
      <c r="AB649" s="775"/>
      <c r="AC649" s="775"/>
      <c r="AD649" s="775"/>
      <c r="AE649" s="775"/>
      <c r="AF649" s="775"/>
      <c r="AG649" s="775"/>
      <c r="AH649" s="775"/>
      <c r="AI649" s="775"/>
      <c r="AJ649" s="775"/>
      <c r="AK649" s="775"/>
      <c r="AL649" s="775"/>
      <c r="AM649" s="775"/>
      <c r="AN649" s="775"/>
      <c r="AO649" s="775"/>
      <c r="AP649" s="775"/>
    </row>
    <row r="650" spans="1:42" s="141" customFormat="1" ht="159.75" customHeight="1">
      <c r="A650" s="775" t="s">
        <v>1865</v>
      </c>
      <c r="B650" s="775" t="s">
        <v>1837</v>
      </c>
      <c r="C650" s="780">
        <v>44691</v>
      </c>
      <c r="D650" s="775" t="s">
        <v>190</v>
      </c>
      <c r="E650" s="775" t="s">
        <v>191</v>
      </c>
      <c r="F650" s="773" t="s">
        <v>1866</v>
      </c>
      <c r="G650" s="777">
        <v>150000000</v>
      </c>
      <c r="H650" s="757" t="s">
        <v>260</v>
      </c>
      <c r="I650" s="775" t="s">
        <v>194</v>
      </c>
      <c r="J650" s="658" t="str">
        <f>VLOOKUP($I650,Prices!A:B,2,0)</f>
        <v>.</v>
      </c>
      <c r="K650" s="790" t="s">
        <v>194</v>
      </c>
      <c r="L650" s="788" t="s">
        <v>194</v>
      </c>
      <c r="M650" s="788" t="s">
        <v>194</v>
      </c>
      <c r="N650" s="707" t="str">
        <f>VLOOKUP($I650,Prices!A:D,4,0)</f>
        <v>.</v>
      </c>
      <c r="O650" s="769" t="s">
        <v>194</v>
      </c>
      <c r="P650" s="793" t="s">
        <v>194</v>
      </c>
      <c r="Q650" s="772">
        <f>G650</f>
        <v>150000000</v>
      </c>
      <c r="R650" s="772">
        <f>Q650/VLOOKUP(H650,'Currency Conversion'!$B$2:$C$16,2,0)</f>
        <v>142045454.54545453</v>
      </c>
      <c r="S650" s="749" t="s">
        <v>194</v>
      </c>
      <c r="T650" s="757" t="s">
        <v>195</v>
      </c>
      <c r="U650" s="756" t="s">
        <v>1862</v>
      </c>
      <c r="V650" s="773" t="s">
        <v>194</v>
      </c>
      <c r="W650" s="773" t="s">
        <v>194</v>
      </c>
      <c r="X650" s="784" t="s">
        <v>194</v>
      </c>
      <c r="Y650" s="759">
        <v>0</v>
      </c>
      <c r="Z650" s="757">
        <v>0</v>
      </c>
      <c r="AA650" s="799" t="s">
        <v>194</v>
      </c>
      <c r="AB650" s="775"/>
      <c r="AC650" s="775"/>
      <c r="AD650" s="775"/>
      <c r="AE650" s="775"/>
      <c r="AF650" s="775"/>
      <c r="AG650" s="775"/>
      <c r="AH650" s="775"/>
      <c r="AI650" s="775"/>
      <c r="AJ650" s="775"/>
      <c r="AK650" s="775"/>
      <c r="AL650" s="775"/>
      <c r="AM650" s="775"/>
      <c r="AN650" s="775"/>
      <c r="AO650" s="775"/>
      <c r="AP650" s="775"/>
    </row>
    <row r="651" spans="1:42" s="141" customFormat="1" ht="204.75" customHeight="1">
      <c r="A651" s="868" t="s">
        <v>1867</v>
      </c>
      <c r="B651" s="868" t="s">
        <v>1837</v>
      </c>
      <c r="C651" s="780">
        <v>44618</v>
      </c>
      <c r="D651" s="868" t="s">
        <v>212</v>
      </c>
      <c r="E651" s="775" t="s">
        <v>320</v>
      </c>
      <c r="F651" s="773" t="s">
        <v>1868</v>
      </c>
      <c r="G651" s="772">
        <v>350000000</v>
      </c>
      <c r="H651" s="757" t="s">
        <v>260</v>
      </c>
      <c r="I651" s="775" t="s">
        <v>194</v>
      </c>
      <c r="J651" s="658" t="str">
        <f>VLOOKUP($I651,Prices!A:B,2,0)</f>
        <v>.</v>
      </c>
      <c r="K651" s="790" t="s">
        <v>194</v>
      </c>
      <c r="L651" s="665" t="s">
        <v>194</v>
      </c>
      <c r="M651" s="788"/>
      <c r="N651" s="647" t="str">
        <f>VLOOKUP($I651,Prices!A:D,4,0)</f>
        <v>.</v>
      </c>
      <c r="O651" s="769" t="s">
        <v>194</v>
      </c>
      <c r="P651" s="793" t="s">
        <v>194</v>
      </c>
      <c r="Q651" s="869">
        <f>SUM(G651:G699)</f>
        <v>3300000000</v>
      </c>
      <c r="R651" s="869">
        <f>Q651/VLOOKUP(H651,'Currency Conversion'!$B$2:$C$16,2,0)</f>
        <v>3125000000</v>
      </c>
      <c r="S651" s="865">
        <f>(1853150964+650000000)/VLOOKUP(H651,'Currency Conversion'!$B$2:$C$16,2,0)</f>
        <v>2370408109.8484845</v>
      </c>
      <c r="T651" s="870" t="s">
        <v>195</v>
      </c>
      <c r="U651" s="756" t="s">
        <v>1869</v>
      </c>
      <c r="V651" s="756" t="s">
        <v>1848</v>
      </c>
      <c r="W651" s="756" t="s">
        <v>1869</v>
      </c>
      <c r="X651" s="784" t="s">
        <v>194</v>
      </c>
      <c r="Y651" s="878">
        <v>0</v>
      </c>
      <c r="Z651" s="888">
        <v>0</v>
      </c>
      <c r="AA651" s="762" t="s">
        <v>1870</v>
      </c>
      <c r="AB651" s="775"/>
      <c r="AC651" s="775"/>
      <c r="AD651" s="775"/>
      <c r="AE651" s="775"/>
      <c r="AF651" s="775"/>
      <c r="AG651" s="775"/>
      <c r="AH651" s="775"/>
      <c r="AI651" s="775"/>
      <c r="AJ651" s="775"/>
      <c r="AK651" s="775"/>
      <c r="AL651" s="775"/>
      <c r="AM651" s="775"/>
      <c r="AN651" s="775"/>
      <c r="AO651" s="775"/>
      <c r="AP651" s="775"/>
    </row>
    <row r="652" spans="1:42" s="141" customFormat="1" ht="226.5" customHeight="1">
      <c r="A652" s="868"/>
      <c r="B652" s="868"/>
      <c r="C652" s="780">
        <v>44632</v>
      </c>
      <c r="D652" s="868"/>
      <c r="E652" s="775" t="s">
        <v>1871</v>
      </c>
      <c r="F652" s="773" t="s">
        <v>1872</v>
      </c>
      <c r="G652" s="772">
        <v>200000000</v>
      </c>
      <c r="H652" s="757" t="s">
        <v>260</v>
      </c>
      <c r="I652" s="775" t="s">
        <v>194</v>
      </c>
      <c r="J652" s="658" t="str">
        <f>VLOOKUP($I652,Prices!A:B,2,0)</f>
        <v>.</v>
      </c>
      <c r="K652" s="790" t="s">
        <v>194</v>
      </c>
      <c r="L652" s="788" t="s">
        <v>194</v>
      </c>
      <c r="M652" s="788"/>
      <c r="N652" s="708" t="str">
        <f>VLOOKUP($I652,Prices!A:D,4,0)</f>
        <v>.</v>
      </c>
      <c r="O652" s="769" t="s">
        <v>194</v>
      </c>
      <c r="P652" s="793" t="s">
        <v>194</v>
      </c>
      <c r="Q652" s="869"/>
      <c r="R652" s="869"/>
      <c r="S652" s="865"/>
      <c r="T652" s="870"/>
      <c r="U652" s="756" t="s">
        <v>1869</v>
      </c>
      <c r="V652" s="756" t="s">
        <v>1848</v>
      </c>
      <c r="W652" s="756" t="s">
        <v>1869</v>
      </c>
      <c r="X652" s="784" t="s">
        <v>194</v>
      </c>
      <c r="Y652" s="878"/>
      <c r="Z652" s="888"/>
      <c r="AA652" s="762" t="s">
        <v>1870</v>
      </c>
      <c r="AB652" s="775"/>
      <c r="AC652" s="775"/>
      <c r="AD652" s="775"/>
      <c r="AE652" s="775"/>
      <c r="AF652" s="775"/>
      <c r="AG652" s="775"/>
      <c r="AH652" s="775"/>
      <c r="AI652" s="775"/>
      <c r="AJ652" s="775"/>
      <c r="AK652" s="775"/>
      <c r="AL652" s="775"/>
      <c r="AM652" s="775"/>
      <c r="AN652" s="775"/>
      <c r="AO652" s="775"/>
      <c r="AP652" s="775"/>
    </row>
    <row r="653" spans="1:42" s="141" customFormat="1" ht="18.95" customHeight="1">
      <c r="A653" s="868"/>
      <c r="B653" s="868"/>
      <c r="C653" s="867">
        <v>44636</v>
      </c>
      <c r="D653" s="868"/>
      <c r="E653" s="868" t="s">
        <v>1873</v>
      </c>
      <c r="F653" s="890" t="s">
        <v>1874</v>
      </c>
      <c r="G653" s="869">
        <v>800000000</v>
      </c>
      <c r="H653" s="870" t="s">
        <v>260</v>
      </c>
      <c r="I653" s="775" t="s">
        <v>644</v>
      </c>
      <c r="J653" s="658">
        <f>VLOOKUP($I653,Prices!A:B,2,0)</f>
        <v>3</v>
      </c>
      <c r="K653" s="790">
        <f>VLOOKUP(I653,Prices!A:C,3,0)</f>
        <v>0</v>
      </c>
      <c r="L653" s="788">
        <v>800</v>
      </c>
      <c r="M653" s="788">
        <f>L653</f>
        <v>800</v>
      </c>
      <c r="N653" s="647">
        <f>VLOOKUP($I653,Prices!A:D,4,0)</f>
        <v>119000</v>
      </c>
      <c r="O653" s="769">
        <f t="shared" si="38"/>
        <v>95200000</v>
      </c>
      <c r="P653" s="793">
        <f t="shared" ref="P653:P675" si="46">M653*N653</f>
        <v>95200000</v>
      </c>
      <c r="Q653" s="869"/>
      <c r="R653" s="869"/>
      <c r="S653" s="865"/>
      <c r="T653" s="870"/>
      <c r="U653" s="854" t="s">
        <v>1869</v>
      </c>
      <c r="V653" s="854" t="s">
        <v>1848</v>
      </c>
      <c r="W653" s="911" t="s">
        <v>194</v>
      </c>
      <c r="X653" s="873" t="s">
        <v>194</v>
      </c>
      <c r="Y653" s="878"/>
      <c r="Z653" s="888"/>
      <c r="AA653" s="899" t="s">
        <v>1875</v>
      </c>
      <c r="AB653" s="775"/>
      <c r="AC653" s="775"/>
      <c r="AD653" s="775"/>
      <c r="AE653" s="775"/>
      <c r="AF653" s="775"/>
      <c r="AG653" s="775"/>
      <c r="AH653" s="775"/>
      <c r="AI653" s="775"/>
      <c r="AJ653" s="775"/>
      <c r="AK653" s="775"/>
      <c r="AL653" s="775"/>
      <c r="AM653" s="775"/>
      <c r="AN653" s="775"/>
      <c r="AO653" s="775"/>
      <c r="AP653" s="775"/>
    </row>
    <row r="654" spans="1:42" s="141" customFormat="1" ht="17.100000000000001" customHeight="1">
      <c r="A654" s="868"/>
      <c r="B654" s="868"/>
      <c r="C654" s="867"/>
      <c r="D654" s="868"/>
      <c r="E654" s="868"/>
      <c r="F654" s="890"/>
      <c r="G654" s="869"/>
      <c r="H654" s="870"/>
      <c r="I654" s="775" t="s">
        <v>1876</v>
      </c>
      <c r="J654" s="658">
        <f>VLOOKUP($I654,Prices!A:B,2,0)</f>
        <v>3</v>
      </c>
      <c r="K654" s="790">
        <f>VLOOKUP(I654,Prices!A:C,3,0)</f>
        <v>0</v>
      </c>
      <c r="L654" s="788">
        <v>2000</v>
      </c>
      <c r="M654" s="788">
        <f t="shared" ref="M654:M665" si="47">L654</f>
        <v>2000</v>
      </c>
      <c r="N654" s="707">
        <f>VLOOKUP($I654,Prices!A:D,4,0)</f>
        <v>256000</v>
      </c>
      <c r="O654" s="769">
        <f t="shared" ref="O654:O717" si="48">L654*N654</f>
        <v>512000000</v>
      </c>
      <c r="P654" s="793">
        <f t="shared" si="46"/>
        <v>512000000</v>
      </c>
      <c r="Q654" s="869"/>
      <c r="R654" s="869"/>
      <c r="S654" s="865"/>
      <c r="T654" s="870"/>
      <c r="U654" s="854"/>
      <c r="V654" s="854"/>
      <c r="W654" s="911"/>
      <c r="X654" s="873"/>
      <c r="Y654" s="878"/>
      <c r="Z654" s="888"/>
      <c r="AA654" s="899"/>
      <c r="AB654" s="775"/>
      <c r="AC654" s="775"/>
      <c r="AD654" s="775"/>
      <c r="AE654" s="775"/>
      <c r="AF654" s="775"/>
      <c r="AG654" s="775"/>
      <c r="AH654" s="775"/>
      <c r="AI654" s="775"/>
      <c r="AJ654" s="775"/>
      <c r="AK654" s="775"/>
      <c r="AL654" s="775"/>
      <c r="AM654" s="775"/>
      <c r="AN654" s="775"/>
      <c r="AO654" s="775"/>
      <c r="AP654" s="775"/>
    </row>
    <row r="655" spans="1:42" s="141" customFormat="1" ht="18" customHeight="1">
      <c r="A655" s="868"/>
      <c r="B655" s="868"/>
      <c r="C655" s="867"/>
      <c r="D655" s="868"/>
      <c r="E655" s="868"/>
      <c r="F655" s="890"/>
      <c r="G655" s="869"/>
      <c r="H655" s="870"/>
      <c r="I655" s="775" t="s">
        <v>239</v>
      </c>
      <c r="J655" s="658">
        <f>VLOOKUP($I655,Prices!A:B,2,0)</f>
        <v>3</v>
      </c>
      <c r="K655" s="790">
        <f>VLOOKUP(I655,Prices!A:C,3,0)</f>
        <v>0</v>
      </c>
      <c r="L655" s="788">
        <v>1000</v>
      </c>
      <c r="M655" s="788">
        <f t="shared" si="47"/>
        <v>1000</v>
      </c>
      <c r="N655" s="647">
        <f>VLOOKUP($I655,Prices!A:D,4,0)</f>
        <v>2000</v>
      </c>
      <c r="O655" s="769">
        <f t="shared" si="48"/>
        <v>2000000</v>
      </c>
      <c r="P655" s="793">
        <f t="shared" si="46"/>
        <v>2000000</v>
      </c>
      <c r="Q655" s="869"/>
      <c r="R655" s="869"/>
      <c r="S655" s="865"/>
      <c r="T655" s="870"/>
      <c r="U655" s="854"/>
      <c r="V655" s="854"/>
      <c r="W655" s="911"/>
      <c r="X655" s="873"/>
      <c r="Y655" s="878"/>
      <c r="Z655" s="888"/>
      <c r="AA655" s="899"/>
      <c r="AB655" s="775"/>
      <c r="AC655" s="775"/>
      <c r="AD655" s="775"/>
      <c r="AE655" s="775"/>
      <c r="AF655" s="775"/>
      <c r="AG655" s="775"/>
      <c r="AH655" s="775"/>
      <c r="AI655" s="775"/>
      <c r="AJ655" s="775"/>
      <c r="AK655" s="775"/>
      <c r="AL655" s="775"/>
      <c r="AM655" s="775"/>
      <c r="AN655" s="775"/>
      <c r="AO655" s="775"/>
      <c r="AP655" s="775"/>
    </row>
    <row r="656" spans="1:42" s="141" customFormat="1" ht="17.100000000000001" customHeight="1">
      <c r="A656" s="868"/>
      <c r="B656" s="868"/>
      <c r="C656" s="867"/>
      <c r="D656" s="868"/>
      <c r="E656" s="868"/>
      <c r="F656" s="890"/>
      <c r="G656" s="869"/>
      <c r="H656" s="870"/>
      <c r="I656" s="775" t="s">
        <v>1877</v>
      </c>
      <c r="J656" s="658">
        <f>VLOOKUP($I656,Prices!A:B,2,0)</f>
        <v>3</v>
      </c>
      <c r="K656" s="790">
        <f>VLOOKUP(I656,Prices!A:C,3,0)</f>
        <v>0</v>
      </c>
      <c r="L656" s="788">
        <v>6000</v>
      </c>
      <c r="M656" s="788">
        <f t="shared" si="47"/>
        <v>6000</v>
      </c>
      <c r="N656" s="707">
        <f>VLOOKUP($I656,Prices!A:D,4,0)</f>
        <v>1500</v>
      </c>
      <c r="O656" s="769">
        <f t="shared" si="48"/>
        <v>9000000</v>
      </c>
      <c r="P656" s="793">
        <f t="shared" si="46"/>
        <v>9000000</v>
      </c>
      <c r="Q656" s="869"/>
      <c r="R656" s="869"/>
      <c r="S656" s="865"/>
      <c r="T656" s="870"/>
      <c r="U656" s="854"/>
      <c r="V656" s="854"/>
      <c r="W656" s="911"/>
      <c r="X656" s="873"/>
      <c r="Y656" s="878"/>
      <c r="Z656" s="888"/>
      <c r="AA656" s="899"/>
      <c r="AB656" s="775"/>
      <c r="AC656" s="775"/>
      <c r="AD656" s="775"/>
      <c r="AE656" s="775"/>
      <c r="AF656" s="775"/>
      <c r="AG656" s="775"/>
      <c r="AH656" s="775"/>
      <c r="AI656" s="775"/>
      <c r="AJ656" s="775"/>
      <c r="AK656" s="775"/>
      <c r="AL656" s="775"/>
      <c r="AM656" s="775"/>
      <c r="AN656" s="775"/>
      <c r="AO656" s="775"/>
      <c r="AP656" s="775"/>
    </row>
    <row r="657" spans="1:42" s="141" customFormat="1" ht="18" customHeight="1">
      <c r="A657" s="868"/>
      <c r="B657" s="868"/>
      <c r="C657" s="867"/>
      <c r="D657" s="868"/>
      <c r="E657" s="868"/>
      <c r="F657" s="890"/>
      <c r="G657" s="869"/>
      <c r="H657" s="870"/>
      <c r="I657" s="775" t="s">
        <v>1878</v>
      </c>
      <c r="J657" s="658">
        <f>VLOOKUP($I657,Prices!A:B,2,0)</f>
        <v>5</v>
      </c>
      <c r="K657" s="790">
        <f>VLOOKUP(I657,Prices!A:C,3,0)</f>
        <v>0</v>
      </c>
      <c r="L657" s="788">
        <v>100</v>
      </c>
      <c r="M657" s="788">
        <v>100</v>
      </c>
      <c r="N657" s="647">
        <f>VLOOKUP($I657,Prices!A:D,4,0)</f>
        <v>6000</v>
      </c>
      <c r="O657" s="769">
        <f t="shared" si="48"/>
        <v>600000</v>
      </c>
      <c r="P657" s="793">
        <f t="shared" si="46"/>
        <v>600000</v>
      </c>
      <c r="Q657" s="869"/>
      <c r="R657" s="869"/>
      <c r="S657" s="865"/>
      <c r="T657" s="870"/>
      <c r="U657" s="854"/>
      <c r="V657" s="854"/>
      <c r="W657" s="911"/>
      <c r="X657" s="873"/>
      <c r="Y657" s="878"/>
      <c r="Z657" s="888"/>
      <c r="AA657" s="899"/>
      <c r="AB657" s="775"/>
      <c r="AC657" s="775"/>
      <c r="AD657" s="775"/>
      <c r="AE657" s="775"/>
      <c r="AF657" s="775"/>
      <c r="AG657" s="775"/>
      <c r="AH657" s="775"/>
      <c r="AI657" s="775"/>
      <c r="AJ657" s="775"/>
      <c r="AK657" s="775"/>
      <c r="AL657" s="775"/>
      <c r="AM657" s="775"/>
      <c r="AN657" s="775"/>
      <c r="AO657" s="775"/>
      <c r="AP657" s="775"/>
    </row>
    <row r="658" spans="1:42" s="141" customFormat="1" ht="17.100000000000001" customHeight="1">
      <c r="A658" s="868"/>
      <c r="B658" s="868"/>
      <c r="C658" s="867"/>
      <c r="D658" s="868"/>
      <c r="E658" s="868"/>
      <c r="F658" s="890"/>
      <c r="G658" s="869"/>
      <c r="H658" s="870"/>
      <c r="I658" s="775" t="s">
        <v>1613</v>
      </c>
      <c r="J658" s="658">
        <f>VLOOKUP($I658,Prices!A:B,2,0)</f>
        <v>2</v>
      </c>
      <c r="K658" s="790">
        <f>VLOOKUP(I658,Prices!A:C,3,0)</f>
        <v>0</v>
      </c>
      <c r="L658" s="788">
        <v>100</v>
      </c>
      <c r="M658" s="788">
        <f>L658</f>
        <v>100</v>
      </c>
      <c r="N658" s="707">
        <f>VLOOKUP($I658,Prices!A:D,4,0)</f>
        <v>2250</v>
      </c>
      <c r="O658" s="769">
        <f t="shared" si="48"/>
        <v>225000</v>
      </c>
      <c r="P658" s="793">
        <f t="shared" si="46"/>
        <v>225000</v>
      </c>
      <c r="Q658" s="869"/>
      <c r="R658" s="869"/>
      <c r="S658" s="865"/>
      <c r="T658" s="870"/>
      <c r="U658" s="854"/>
      <c r="V658" s="854"/>
      <c r="W658" s="911"/>
      <c r="X658" s="873"/>
      <c r="Y658" s="878"/>
      <c r="Z658" s="888"/>
      <c r="AA658" s="899"/>
      <c r="AB658" s="775"/>
      <c r="AC658" s="775"/>
      <c r="AD658" s="775"/>
      <c r="AE658" s="775"/>
      <c r="AF658" s="775"/>
      <c r="AG658" s="775"/>
      <c r="AH658" s="775"/>
      <c r="AI658" s="775"/>
      <c r="AJ658" s="775"/>
      <c r="AK658" s="775"/>
      <c r="AL658" s="775"/>
      <c r="AM658" s="775"/>
      <c r="AN658" s="775"/>
      <c r="AO658" s="775"/>
      <c r="AP658" s="775"/>
    </row>
    <row r="659" spans="1:42" s="141" customFormat="1" ht="17.100000000000001" customHeight="1">
      <c r="A659" s="868"/>
      <c r="B659" s="868"/>
      <c r="C659" s="867"/>
      <c r="D659" s="868"/>
      <c r="E659" s="868"/>
      <c r="F659" s="890"/>
      <c r="G659" s="869"/>
      <c r="H659" s="870"/>
      <c r="I659" s="775" t="s">
        <v>1581</v>
      </c>
      <c r="J659" s="658">
        <f>VLOOKUP($I659,Prices!A:B,2,0)</f>
        <v>2</v>
      </c>
      <c r="K659" s="790">
        <f>VLOOKUP(I659,Prices!A:C,3,0)</f>
        <v>0</v>
      </c>
      <c r="L659" s="788">
        <v>5000</v>
      </c>
      <c r="M659" s="788">
        <f t="shared" si="47"/>
        <v>5000</v>
      </c>
      <c r="N659" s="647">
        <f>VLOOKUP($I659,Prices!A:D,4,0)</f>
        <v>700</v>
      </c>
      <c r="O659" s="769">
        <f t="shared" si="48"/>
        <v>3500000</v>
      </c>
      <c r="P659" s="793">
        <f t="shared" si="46"/>
        <v>3500000</v>
      </c>
      <c r="Q659" s="869"/>
      <c r="R659" s="869"/>
      <c r="S659" s="865"/>
      <c r="T659" s="870"/>
      <c r="U659" s="854"/>
      <c r="V659" s="854"/>
      <c r="W659" s="911"/>
      <c r="X659" s="873"/>
      <c r="Y659" s="878"/>
      <c r="Z659" s="888"/>
      <c r="AA659" s="899"/>
      <c r="AB659" s="775"/>
      <c r="AC659" s="775"/>
      <c r="AD659" s="775"/>
      <c r="AE659" s="775"/>
      <c r="AF659" s="775"/>
      <c r="AG659" s="775"/>
      <c r="AH659" s="775"/>
      <c r="AI659" s="775"/>
      <c r="AJ659" s="775"/>
      <c r="AK659" s="775"/>
      <c r="AL659" s="775"/>
      <c r="AM659" s="775"/>
      <c r="AN659" s="775"/>
      <c r="AO659" s="775"/>
      <c r="AP659" s="775"/>
    </row>
    <row r="660" spans="1:42" s="141" customFormat="1" ht="16.5" customHeight="1">
      <c r="A660" s="868"/>
      <c r="B660" s="868"/>
      <c r="C660" s="867"/>
      <c r="D660" s="868"/>
      <c r="E660" s="868"/>
      <c r="F660" s="890"/>
      <c r="G660" s="869"/>
      <c r="H660" s="870"/>
      <c r="I660" s="775" t="s">
        <v>1879</v>
      </c>
      <c r="J660" s="658">
        <f>VLOOKUP($I660,Prices!A:B,2,0)</f>
        <v>2</v>
      </c>
      <c r="K660" s="790">
        <f>VLOOKUP(I660,Prices!A:C,3,0)</f>
        <v>0</v>
      </c>
      <c r="L660" s="788">
        <v>1000</v>
      </c>
      <c r="M660" s="788">
        <f t="shared" si="47"/>
        <v>1000</v>
      </c>
      <c r="N660" s="707">
        <f>VLOOKUP($I660,Prices!A:D,4,0)</f>
        <v>800</v>
      </c>
      <c r="O660" s="769">
        <f t="shared" si="48"/>
        <v>800000</v>
      </c>
      <c r="P660" s="793">
        <f t="shared" si="46"/>
        <v>800000</v>
      </c>
      <c r="Q660" s="869"/>
      <c r="R660" s="869"/>
      <c r="S660" s="865"/>
      <c r="T660" s="870"/>
      <c r="U660" s="854"/>
      <c r="V660" s="854"/>
      <c r="W660" s="911"/>
      <c r="X660" s="873"/>
      <c r="Y660" s="878"/>
      <c r="Z660" s="888"/>
      <c r="AA660" s="899"/>
      <c r="AB660" s="775"/>
      <c r="AC660" s="775"/>
      <c r="AD660" s="775"/>
      <c r="AE660" s="775"/>
      <c r="AF660" s="775"/>
      <c r="AG660" s="775"/>
      <c r="AH660" s="775"/>
      <c r="AI660" s="775"/>
      <c r="AJ660" s="775"/>
      <c r="AK660" s="775"/>
      <c r="AL660" s="775"/>
      <c r="AM660" s="775"/>
      <c r="AN660" s="775"/>
      <c r="AO660" s="775"/>
      <c r="AP660" s="775"/>
    </row>
    <row r="661" spans="1:42" s="141" customFormat="1" ht="17.100000000000001" customHeight="1">
      <c r="A661" s="868"/>
      <c r="B661" s="868"/>
      <c r="C661" s="867"/>
      <c r="D661" s="868"/>
      <c r="E661" s="868"/>
      <c r="F661" s="890"/>
      <c r="G661" s="869"/>
      <c r="H661" s="870"/>
      <c r="I661" s="775" t="s">
        <v>1880</v>
      </c>
      <c r="J661" s="658">
        <f>VLOOKUP($I661,Prices!A:B,2,0)</f>
        <v>2</v>
      </c>
      <c r="K661" s="790">
        <f>VLOOKUP(I661,Prices!A:C,3,0)</f>
        <v>0</v>
      </c>
      <c r="L661" s="788">
        <v>400</v>
      </c>
      <c r="M661" s="788">
        <f t="shared" si="47"/>
        <v>400</v>
      </c>
      <c r="N661" s="647">
        <f>VLOOKUP($I661,Prices!A:D,4,0)</f>
        <v>5300</v>
      </c>
      <c r="O661" s="769">
        <f t="shared" si="48"/>
        <v>2120000</v>
      </c>
      <c r="P661" s="793">
        <f t="shared" si="46"/>
        <v>2120000</v>
      </c>
      <c r="Q661" s="869"/>
      <c r="R661" s="869"/>
      <c r="S661" s="865"/>
      <c r="T661" s="870"/>
      <c r="U661" s="854"/>
      <c r="V661" s="854"/>
      <c r="W661" s="911"/>
      <c r="X661" s="873"/>
      <c r="Y661" s="878"/>
      <c r="Z661" s="888"/>
      <c r="AA661" s="899"/>
      <c r="AB661" s="775"/>
      <c r="AC661" s="775"/>
      <c r="AD661" s="775"/>
      <c r="AE661" s="775"/>
      <c r="AF661" s="775"/>
      <c r="AG661" s="775"/>
      <c r="AH661" s="775"/>
      <c r="AI661" s="775"/>
      <c r="AJ661" s="775"/>
      <c r="AK661" s="775"/>
      <c r="AL661" s="775"/>
      <c r="AM661" s="775"/>
      <c r="AN661" s="775"/>
      <c r="AO661" s="775"/>
      <c r="AP661" s="775"/>
    </row>
    <row r="662" spans="1:42" s="141" customFormat="1" ht="18" customHeight="1">
      <c r="A662" s="868"/>
      <c r="B662" s="868"/>
      <c r="C662" s="867"/>
      <c r="D662" s="868"/>
      <c r="E662" s="868"/>
      <c r="F662" s="890"/>
      <c r="G662" s="869"/>
      <c r="H662" s="870"/>
      <c r="I662" s="775" t="s">
        <v>1881</v>
      </c>
      <c r="J662" s="658">
        <f>VLOOKUP($I662,Prices!A:B,2,0)</f>
        <v>2</v>
      </c>
      <c r="K662" s="790">
        <f>VLOOKUP(I662,Prices!A:C,3,0)</f>
        <v>0</v>
      </c>
      <c r="L662" s="788">
        <v>400</v>
      </c>
      <c r="M662" s="788">
        <f t="shared" si="47"/>
        <v>400</v>
      </c>
      <c r="N662" s="707">
        <f>VLOOKUP($I662,Prices!A:D,4,0)</f>
        <v>1100</v>
      </c>
      <c r="O662" s="769">
        <f t="shared" si="48"/>
        <v>440000</v>
      </c>
      <c r="P662" s="793">
        <f t="shared" si="46"/>
        <v>440000</v>
      </c>
      <c r="Q662" s="869"/>
      <c r="R662" s="869"/>
      <c r="S662" s="865"/>
      <c r="T662" s="870"/>
      <c r="U662" s="854"/>
      <c r="V662" s="854"/>
      <c r="W662" s="911"/>
      <c r="X662" s="873"/>
      <c r="Y662" s="878"/>
      <c r="Z662" s="888"/>
      <c r="AA662" s="899"/>
      <c r="AB662" s="775"/>
      <c r="AC662" s="775"/>
      <c r="AD662" s="775"/>
      <c r="AE662" s="775"/>
      <c r="AF662" s="775"/>
      <c r="AG662" s="775"/>
      <c r="AH662" s="775"/>
      <c r="AI662" s="775"/>
      <c r="AJ662" s="775"/>
      <c r="AK662" s="775"/>
      <c r="AL662" s="775"/>
      <c r="AM662" s="775"/>
      <c r="AN662" s="775"/>
      <c r="AO662" s="775"/>
      <c r="AP662" s="775"/>
    </row>
    <row r="663" spans="1:42" s="141" customFormat="1" ht="17.100000000000001" customHeight="1">
      <c r="A663" s="868"/>
      <c r="B663" s="868"/>
      <c r="C663" s="867"/>
      <c r="D663" s="868"/>
      <c r="E663" s="868"/>
      <c r="F663" s="890"/>
      <c r="G663" s="869"/>
      <c r="H663" s="870"/>
      <c r="I663" s="775" t="s">
        <v>1882</v>
      </c>
      <c r="J663" s="658">
        <f>VLOOKUP($I663,Prices!A:B,2,0)</f>
        <v>2.5</v>
      </c>
      <c r="K663" s="790">
        <f>VLOOKUP(I663,Prices!A:C,3,0)</f>
        <v>0</v>
      </c>
      <c r="L663" s="788">
        <v>20000000</v>
      </c>
      <c r="M663" s="788">
        <f t="shared" si="47"/>
        <v>20000000</v>
      </c>
      <c r="N663" s="647">
        <f>VLOOKUP($I663,Prices!A:D,4,0)</f>
        <v>5</v>
      </c>
      <c r="O663" s="769">
        <f t="shared" si="48"/>
        <v>100000000</v>
      </c>
      <c r="P663" s="793">
        <f t="shared" si="46"/>
        <v>100000000</v>
      </c>
      <c r="Q663" s="869"/>
      <c r="R663" s="869"/>
      <c r="S663" s="865"/>
      <c r="T663" s="870"/>
      <c r="U663" s="854"/>
      <c r="V663" s="854"/>
      <c r="W663" s="911"/>
      <c r="X663" s="873"/>
      <c r="Y663" s="878"/>
      <c r="Z663" s="888"/>
      <c r="AA663" s="899"/>
      <c r="AB663" s="775"/>
      <c r="AC663" s="775"/>
      <c r="AD663" s="775"/>
      <c r="AE663" s="775"/>
      <c r="AF663" s="775"/>
      <c r="AG663" s="775"/>
      <c r="AH663" s="775"/>
      <c r="AI663" s="775"/>
      <c r="AJ663" s="775"/>
      <c r="AK663" s="775"/>
      <c r="AL663" s="775"/>
      <c r="AM663" s="775"/>
      <c r="AN663" s="775"/>
      <c r="AO663" s="775"/>
      <c r="AP663" s="775"/>
    </row>
    <row r="664" spans="1:42" s="141" customFormat="1" ht="18.95" customHeight="1">
      <c r="A664" s="868"/>
      <c r="B664" s="868"/>
      <c r="C664" s="867"/>
      <c r="D664" s="868"/>
      <c r="E664" s="868"/>
      <c r="F664" s="890"/>
      <c r="G664" s="869"/>
      <c r="H664" s="870"/>
      <c r="I664" s="775" t="s">
        <v>348</v>
      </c>
      <c r="J664" s="658">
        <f>VLOOKUP($I664,Prices!A:B,2,0)</f>
        <v>1</v>
      </c>
      <c r="K664" s="790">
        <f>VLOOKUP(I664,Prices!A:C,3,0)</f>
        <v>0</v>
      </c>
      <c r="L664" s="788">
        <v>25000</v>
      </c>
      <c r="M664" s="788">
        <f t="shared" si="47"/>
        <v>25000</v>
      </c>
      <c r="N664" s="707">
        <f>VLOOKUP($I664,Prices!A:D,4,0)</f>
        <v>500</v>
      </c>
      <c r="O664" s="769">
        <f t="shared" si="48"/>
        <v>12500000</v>
      </c>
      <c r="P664" s="793">
        <f t="shared" si="46"/>
        <v>12500000</v>
      </c>
      <c r="Q664" s="869"/>
      <c r="R664" s="869"/>
      <c r="S664" s="865"/>
      <c r="T664" s="870"/>
      <c r="U664" s="854"/>
      <c r="V664" s="854"/>
      <c r="W664" s="911"/>
      <c r="X664" s="873"/>
      <c r="Y664" s="878"/>
      <c r="Z664" s="888"/>
      <c r="AA664" s="899"/>
      <c r="AB664" s="775"/>
      <c r="AC664" s="775"/>
      <c r="AD664" s="775"/>
      <c r="AE664" s="775"/>
      <c r="AF664" s="775"/>
      <c r="AG664" s="775"/>
      <c r="AH664" s="775"/>
      <c r="AI664" s="775"/>
      <c r="AJ664" s="775"/>
      <c r="AK664" s="775"/>
      <c r="AL664" s="775"/>
      <c r="AM664" s="775"/>
      <c r="AN664" s="775"/>
      <c r="AO664" s="775"/>
      <c r="AP664" s="775"/>
    </row>
    <row r="665" spans="1:42" s="141" customFormat="1" ht="18.95" customHeight="1">
      <c r="A665" s="868"/>
      <c r="B665" s="868"/>
      <c r="C665" s="867"/>
      <c r="D665" s="868"/>
      <c r="E665" s="868"/>
      <c r="F665" s="890"/>
      <c r="G665" s="869"/>
      <c r="H665" s="870"/>
      <c r="I665" s="775" t="s">
        <v>344</v>
      </c>
      <c r="J665" s="658">
        <f>VLOOKUP($I665,Prices!A:B,2,0)</f>
        <v>1</v>
      </c>
      <c r="K665" s="790">
        <f>VLOOKUP(I665,Prices!A:C,3,0)</f>
        <v>0</v>
      </c>
      <c r="L665" s="788">
        <v>25000</v>
      </c>
      <c r="M665" s="788">
        <f t="shared" si="47"/>
        <v>25000</v>
      </c>
      <c r="N665" s="647">
        <f>VLOOKUP($I665,Prices!A:D,4,0)</f>
        <v>1400</v>
      </c>
      <c r="O665" s="769">
        <f t="shared" si="48"/>
        <v>35000000</v>
      </c>
      <c r="P665" s="793">
        <f t="shared" si="46"/>
        <v>35000000</v>
      </c>
      <c r="Q665" s="869"/>
      <c r="R665" s="869"/>
      <c r="S665" s="865"/>
      <c r="T665" s="870"/>
      <c r="U665" s="854"/>
      <c r="V665" s="854"/>
      <c r="W665" s="911"/>
      <c r="X665" s="873"/>
      <c r="Y665" s="878"/>
      <c r="Z665" s="888"/>
      <c r="AA665" s="899"/>
      <c r="AB665" s="775"/>
      <c r="AC665" s="775"/>
      <c r="AD665" s="775"/>
      <c r="AE665" s="775"/>
      <c r="AF665" s="775"/>
      <c r="AG665" s="775"/>
      <c r="AH665" s="775"/>
      <c r="AI665" s="775"/>
      <c r="AJ665" s="775"/>
      <c r="AK665" s="775"/>
      <c r="AL665" s="775"/>
      <c r="AM665" s="775"/>
      <c r="AN665" s="775"/>
      <c r="AO665" s="775"/>
      <c r="AP665" s="775"/>
    </row>
    <row r="666" spans="1:42" s="141" customFormat="1" ht="25.5" customHeight="1">
      <c r="A666" s="868"/>
      <c r="B666" s="868"/>
      <c r="C666" s="867">
        <v>44664</v>
      </c>
      <c r="D666" s="868"/>
      <c r="E666" s="868" t="s">
        <v>320</v>
      </c>
      <c r="F666" s="890" t="s">
        <v>1883</v>
      </c>
      <c r="G666" s="869">
        <v>800000000</v>
      </c>
      <c r="H666" s="870" t="s">
        <v>260</v>
      </c>
      <c r="I666" s="775" t="s">
        <v>246</v>
      </c>
      <c r="J666" s="658">
        <f>VLOOKUP($I666,Prices!A:B,2,0)</f>
        <v>4</v>
      </c>
      <c r="K666" s="790">
        <f>VLOOKUP(I666,Prices!A:C,3,0)</f>
        <v>0</v>
      </c>
      <c r="L666" s="788">
        <v>18</v>
      </c>
      <c r="M666" s="788">
        <v>18</v>
      </c>
      <c r="N666" s="707">
        <f>VLOOKUP($I666,Prices!A:D,4,0)</f>
        <v>5170000</v>
      </c>
      <c r="O666" s="769">
        <f t="shared" si="48"/>
        <v>93060000</v>
      </c>
      <c r="P666" s="793">
        <f t="shared" si="46"/>
        <v>93060000</v>
      </c>
      <c r="Q666" s="869"/>
      <c r="R666" s="869"/>
      <c r="S666" s="865"/>
      <c r="T666" s="870"/>
      <c r="U666" s="854" t="s">
        <v>1869</v>
      </c>
      <c r="V666" s="854" t="s">
        <v>1848</v>
      </c>
      <c r="W666" s="854" t="s">
        <v>1884</v>
      </c>
      <c r="X666" s="873" t="s">
        <v>194</v>
      </c>
      <c r="Y666" s="878"/>
      <c r="Z666" s="888"/>
      <c r="AA666" s="762" t="s">
        <v>1885</v>
      </c>
      <c r="AB666" s="775"/>
      <c r="AC666" s="775"/>
      <c r="AD666" s="775"/>
      <c r="AE666" s="775"/>
      <c r="AF666" s="775"/>
      <c r="AG666" s="775"/>
      <c r="AH666" s="775"/>
      <c r="AI666" s="775"/>
      <c r="AJ666" s="775"/>
      <c r="AK666" s="775"/>
      <c r="AL666" s="775"/>
      <c r="AM666" s="775"/>
      <c r="AN666" s="775"/>
      <c r="AO666" s="775"/>
      <c r="AP666" s="775"/>
    </row>
    <row r="667" spans="1:42" s="141" customFormat="1" ht="15.95" customHeight="1">
      <c r="A667" s="868"/>
      <c r="B667" s="868"/>
      <c r="C667" s="867"/>
      <c r="D667" s="868"/>
      <c r="E667" s="868"/>
      <c r="F667" s="890"/>
      <c r="G667" s="869"/>
      <c r="H667" s="870"/>
      <c r="I667" s="775" t="s">
        <v>1886</v>
      </c>
      <c r="J667" s="658">
        <f>VLOOKUP($I667,Prices!A:B,2,0)</f>
        <v>4.5</v>
      </c>
      <c r="K667" s="790">
        <f>VLOOKUP(I667,Prices!A:C,3,0)</f>
        <v>0</v>
      </c>
      <c r="L667" s="788">
        <v>40000</v>
      </c>
      <c r="M667" s="788">
        <v>40000</v>
      </c>
      <c r="N667" s="647">
        <f>VLOOKUP($I667,Prices!A:D,4,0)</f>
        <v>2000</v>
      </c>
      <c r="O667" s="769">
        <f t="shared" si="48"/>
        <v>80000000</v>
      </c>
      <c r="P667" s="793" t="s">
        <v>194</v>
      </c>
      <c r="Q667" s="869"/>
      <c r="R667" s="869"/>
      <c r="S667" s="865"/>
      <c r="T667" s="870"/>
      <c r="U667" s="854"/>
      <c r="V667" s="854"/>
      <c r="W667" s="854"/>
      <c r="X667" s="873"/>
      <c r="Y667" s="878"/>
      <c r="Z667" s="888"/>
      <c r="AA667" s="689"/>
      <c r="AB667" s="775"/>
      <c r="AC667" s="775"/>
      <c r="AD667" s="775"/>
      <c r="AE667" s="775"/>
      <c r="AF667" s="775"/>
      <c r="AG667" s="775"/>
      <c r="AH667" s="775"/>
      <c r="AI667" s="775"/>
      <c r="AJ667" s="775"/>
      <c r="AK667" s="775"/>
      <c r="AL667" s="775"/>
      <c r="AM667" s="775"/>
      <c r="AN667" s="775"/>
      <c r="AO667" s="775"/>
      <c r="AP667" s="775"/>
    </row>
    <row r="668" spans="1:42" s="141" customFormat="1" ht="15.95" customHeight="1">
      <c r="A668" s="868"/>
      <c r="B668" s="868"/>
      <c r="C668" s="867"/>
      <c r="D668" s="868"/>
      <c r="E668" s="868"/>
      <c r="F668" s="890"/>
      <c r="G668" s="869"/>
      <c r="H668" s="870"/>
      <c r="I668" s="775" t="s">
        <v>1887</v>
      </c>
      <c r="J668" s="658">
        <f>VLOOKUP($I668,Prices!A:B,2,0)</f>
        <v>1</v>
      </c>
      <c r="K668" s="790">
        <f>VLOOKUP(I668,Prices!A:C,3,0)</f>
        <v>0</v>
      </c>
      <c r="L668" s="788">
        <v>10</v>
      </c>
      <c r="M668" s="788" t="s">
        <v>194</v>
      </c>
      <c r="N668" s="707">
        <f>VLOOKUP($I668,Prices!A:D,4,0)</f>
        <v>8888888</v>
      </c>
      <c r="O668" s="769">
        <f t="shared" si="48"/>
        <v>88888880</v>
      </c>
      <c r="P668" s="793" t="s">
        <v>194</v>
      </c>
      <c r="Q668" s="869"/>
      <c r="R668" s="869"/>
      <c r="S668" s="865"/>
      <c r="T668" s="870"/>
      <c r="U668" s="854"/>
      <c r="V668" s="854"/>
      <c r="W668" s="854"/>
      <c r="X668" s="873"/>
      <c r="Y668" s="878"/>
      <c r="Z668" s="888"/>
      <c r="AA668" s="689"/>
      <c r="AB668" s="775"/>
      <c r="AC668" s="775"/>
      <c r="AD668" s="775"/>
      <c r="AE668" s="775"/>
      <c r="AF668" s="775"/>
      <c r="AG668" s="775"/>
      <c r="AH668" s="775"/>
      <c r="AI668" s="775"/>
      <c r="AJ668" s="775"/>
      <c r="AK668" s="775"/>
      <c r="AL668" s="775"/>
      <c r="AM668" s="775"/>
      <c r="AN668" s="775"/>
      <c r="AO668" s="775"/>
      <c r="AP668" s="775"/>
    </row>
    <row r="669" spans="1:42" s="141" customFormat="1" ht="15.95" customHeight="1">
      <c r="A669" s="868"/>
      <c r="B669" s="868"/>
      <c r="C669" s="867"/>
      <c r="D669" s="868"/>
      <c r="E669" s="868"/>
      <c r="F669" s="890"/>
      <c r="G669" s="869"/>
      <c r="H669" s="870"/>
      <c r="I669" s="775" t="s">
        <v>1888</v>
      </c>
      <c r="J669" s="658">
        <f>VLOOKUP($I669,Prices!A:B,2,0)</f>
        <v>1</v>
      </c>
      <c r="K669" s="790">
        <f>VLOOKUP(I669,Prices!A:C,3,0)</f>
        <v>0</v>
      </c>
      <c r="L669" s="788">
        <v>2</v>
      </c>
      <c r="M669" s="788">
        <v>2</v>
      </c>
      <c r="N669" s="647">
        <f>VLOOKUP($I669,Prices!A:D,4,0)</f>
        <v>70000000</v>
      </c>
      <c r="O669" s="769">
        <f t="shared" si="48"/>
        <v>140000000</v>
      </c>
      <c r="P669" s="793">
        <f>M669*N669</f>
        <v>140000000</v>
      </c>
      <c r="Q669" s="869"/>
      <c r="R669" s="869"/>
      <c r="S669" s="865"/>
      <c r="T669" s="870"/>
      <c r="U669" s="854"/>
      <c r="V669" s="854"/>
      <c r="W669" s="854"/>
      <c r="X669" s="873"/>
      <c r="Y669" s="878"/>
      <c r="Z669" s="888"/>
      <c r="AA669" s="689"/>
      <c r="AB669" s="775"/>
      <c r="AC669" s="775"/>
      <c r="AD669" s="775"/>
      <c r="AE669" s="775"/>
      <c r="AF669" s="775"/>
      <c r="AG669" s="775"/>
      <c r="AH669" s="775"/>
      <c r="AI669" s="775"/>
      <c r="AJ669" s="775"/>
      <c r="AK669" s="775"/>
      <c r="AL669" s="775"/>
      <c r="AM669" s="775"/>
      <c r="AN669" s="775"/>
      <c r="AO669" s="775"/>
      <c r="AP669" s="775"/>
    </row>
    <row r="670" spans="1:42" s="141" customFormat="1" ht="15.95" customHeight="1">
      <c r="A670" s="868"/>
      <c r="B670" s="868"/>
      <c r="C670" s="867"/>
      <c r="D670" s="868"/>
      <c r="E670" s="868"/>
      <c r="F670" s="890"/>
      <c r="G670" s="869"/>
      <c r="H670" s="870"/>
      <c r="I670" s="775" t="s">
        <v>1889</v>
      </c>
      <c r="J670" s="658">
        <f>VLOOKUP($I670,Prices!A:B,2,0)</f>
        <v>5</v>
      </c>
      <c r="K670" s="790">
        <f>VLOOKUP(I670,Prices!A:C,3,0)</f>
        <v>0</v>
      </c>
      <c r="L670" s="788">
        <v>300</v>
      </c>
      <c r="M670" s="788">
        <v>300</v>
      </c>
      <c r="N670" s="707">
        <f>VLOOKUP($I670,Prices!A:D,4,0)</f>
        <v>6000</v>
      </c>
      <c r="O670" s="769">
        <f t="shared" si="48"/>
        <v>1800000</v>
      </c>
      <c r="P670" s="793">
        <f>M670*N670</f>
        <v>1800000</v>
      </c>
      <c r="Q670" s="869"/>
      <c r="R670" s="869"/>
      <c r="S670" s="865"/>
      <c r="T670" s="870"/>
      <c r="U670" s="854"/>
      <c r="V670" s="854"/>
      <c r="W670" s="854"/>
      <c r="X670" s="873"/>
      <c r="Y670" s="878"/>
      <c r="Z670" s="888"/>
      <c r="AA670" s="762" t="s">
        <v>1890</v>
      </c>
      <c r="AB670" s="775"/>
      <c r="AC670" s="775"/>
      <c r="AD670" s="775"/>
      <c r="AE670" s="775"/>
      <c r="AF670" s="775"/>
      <c r="AG670" s="775"/>
      <c r="AH670" s="775"/>
      <c r="AI670" s="775"/>
      <c r="AJ670" s="775"/>
      <c r="AK670" s="775"/>
      <c r="AL670" s="775"/>
      <c r="AM670" s="775"/>
      <c r="AN670" s="775"/>
      <c r="AO670" s="775"/>
      <c r="AP670" s="775"/>
    </row>
    <row r="671" spans="1:42" s="141" customFormat="1" ht="15.95" customHeight="1">
      <c r="A671" s="868"/>
      <c r="B671" s="868"/>
      <c r="C671" s="867"/>
      <c r="D671" s="868"/>
      <c r="E671" s="868"/>
      <c r="F671" s="890"/>
      <c r="G671" s="869"/>
      <c r="H671" s="870"/>
      <c r="I671" s="775" t="s">
        <v>675</v>
      </c>
      <c r="J671" s="658">
        <f>VLOOKUP($I671,Prices!A:B,2,0)</f>
        <v>3</v>
      </c>
      <c r="K671" s="790">
        <f>VLOOKUP(I671,Prices!A:C,3,0)</f>
        <v>0</v>
      </c>
      <c r="L671" s="788">
        <v>500</v>
      </c>
      <c r="M671" s="788">
        <v>500</v>
      </c>
      <c r="N671" s="647">
        <f>VLOOKUP($I671,Prices!A:D,4,0)</f>
        <v>80000</v>
      </c>
      <c r="O671" s="769">
        <f t="shared" si="48"/>
        <v>40000000</v>
      </c>
      <c r="P671" s="793">
        <f t="shared" si="46"/>
        <v>40000000</v>
      </c>
      <c r="Q671" s="869"/>
      <c r="R671" s="869"/>
      <c r="S671" s="865"/>
      <c r="T671" s="870"/>
      <c r="U671" s="854"/>
      <c r="V671" s="854"/>
      <c r="W671" s="854"/>
      <c r="X671" s="873"/>
      <c r="Y671" s="878"/>
      <c r="Z671" s="888"/>
      <c r="AA671" s="762" t="s">
        <v>1891</v>
      </c>
      <c r="AB671" s="775"/>
      <c r="AC671" s="775"/>
      <c r="AD671" s="775"/>
      <c r="AE671" s="775"/>
      <c r="AF671" s="775"/>
      <c r="AG671" s="775"/>
      <c r="AH671" s="775"/>
      <c r="AI671" s="775"/>
      <c r="AJ671" s="775"/>
      <c r="AK671" s="775"/>
      <c r="AL671" s="775"/>
      <c r="AM671" s="775"/>
      <c r="AN671" s="775"/>
      <c r="AO671" s="775"/>
      <c r="AP671" s="775"/>
    </row>
    <row r="672" spans="1:42" s="141" customFormat="1" ht="15.95" customHeight="1">
      <c r="A672" s="868"/>
      <c r="B672" s="868"/>
      <c r="C672" s="867"/>
      <c r="D672" s="868"/>
      <c r="E672" s="868"/>
      <c r="F672" s="890"/>
      <c r="G672" s="869"/>
      <c r="H672" s="870"/>
      <c r="I672" s="775" t="s">
        <v>1892</v>
      </c>
      <c r="J672" s="658">
        <f>VLOOKUP($I672,Prices!A:B,2,0)</f>
        <v>3</v>
      </c>
      <c r="K672" s="790">
        <f>VLOOKUP(I672,Prices!A:C,3,0)</f>
        <v>0</v>
      </c>
      <c r="L672" s="788" t="s">
        <v>224</v>
      </c>
      <c r="M672" s="788" t="str">
        <f>L672</f>
        <v>undisclosed</v>
      </c>
      <c r="N672" s="707">
        <f>VLOOKUP($I672,Prices!A:D,4,0)</f>
        <v>256000</v>
      </c>
      <c r="O672" s="769" t="s">
        <v>194</v>
      </c>
      <c r="P672" s="793" t="s">
        <v>194</v>
      </c>
      <c r="Q672" s="869"/>
      <c r="R672" s="869"/>
      <c r="S672" s="865"/>
      <c r="T672" s="870"/>
      <c r="U672" s="854"/>
      <c r="V672" s="854"/>
      <c r="W672" s="854"/>
      <c r="X672" s="873"/>
      <c r="Y672" s="878"/>
      <c r="Z672" s="888"/>
      <c r="AA672" s="689"/>
      <c r="AB672" s="775"/>
      <c r="AC672" s="775"/>
      <c r="AD672" s="775"/>
      <c r="AE672" s="775"/>
      <c r="AF672" s="775"/>
      <c r="AG672" s="775"/>
      <c r="AH672" s="775"/>
      <c r="AI672" s="775"/>
      <c r="AJ672" s="775"/>
      <c r="AK672" s="775"/>
      <c r="AL672" s="775"/>
      <c r="AM672" s="775"/>
      <c r="AN672" s="775"/>
      <c r="AO672" s="775"/>
      <c r="AP672" s="775"/>
    </row>
    <row r="673" spans="1:42" s="141" customFormat="1" ht="15.95" customHeight="1">
      <c r="A673" s="868"/>
      <c r="B673" s="868"/>
      <c r="C673" s="867"/>
      <c r="D673" s="868"/>
      <c r="E673" s="868"/>
      <c r="F673" s="890"/>
      <c r="G673" s="869"/>
      <c r="H673" s="870"/>
      <c r="I673" s="775" t="s">
        <v>252</v>
      </c>
      <c r="J673" s="658">
        <f>VLOOKUP($I673,Prices!A:B,2,0)</f>
        <v>4</v>
      </c>
      <c r="K673" s="790">
        <f>VLOOKUP(I673,Prices!A:C,3,0)</f>
        <v>0</v>
      </c>
      <c r="L673" s="788">
        <v>200</v>
      </c>
      <c r="M673" s="788">
        <v>200</v>
      </c>
      <c r="N673" s="647">
        <f>VLOOKUP($I673,Prices!A:D,4,0)</f>
        <v>300000</v>
      </c>
      <c r="O673" s="769">
        <f t="shared" si="48"/>
        <v>60000000</v>
      </c>
      <c r="P673" s="793">
        <f t="shared" si="46"/>
        <v>60000000</v>
      </c>
      <c r="Q673" s="869"/>
      <c r="R673" s="869"/>
      <c r="S673" s="865"/>
      <c r="T673" s="870"/>
      <c r="U673" s="854"/>
      <c r="V673" s="854"/>
      <c r="W673" s="854"/>
      <c r="X673" s="873"/>
      <c r="Y673" s="878"/>
      <c r="Z673" s="888"/>
      <c r="AA673" s="762" t="s">
        <v>1875</v>
      </c>
      <c r="AB673" s="775"/>
      <c r="AC673" s="775"/>
      <c r="AD673" s="775"/>
      <c r="AE673" s="775"/>
      <c r="AF673" s="775"/>
      <c r="AG673" s="775"/>
      <c r="AH673" s="775"/>
      <c r="AI673" s="775"/>
      <c r="AJ673" s="775"/>
      <c r="AK673" s="775"/>
      <c r="AL673" s="775"/>
      <c r="AM673" s="775"/>
      <c r="AN673" s="775"/>
      <c r="AO673" s="775"/>
      <c r="AP673" s="775"/>
    </row>
    <row r="674" spans="1:42" s="141" customFormat="1" ht="15.95" customHeight="1">
      <c r="A674" s="868"/>
      <c r="B674" s="868"/>
      <c r="C674" s="867"/>
      <c r="D674" s="868"/>
      <c r="E674" s="868"/>
      <c r="F674" s="890"/>
      <c r="G674" s="869"/>
      <c r="H674" s="870"/>
      <c r="I674" s="775" t="s">
        <v>1893</v>
      </c>
      <c r="J674" s="658">
        <f>VLOOKUP($I674,Prices!A:B,2,0)</f>
        <v>4</v>
      </c>
      <c r="K674" s="790">
        <f>VLOOKUP(I674,Prices!A:C,3,0)</f>
        <v>0</v>
      </c>
      <c r="L674" s="788">
        <v>100</v>
      </c>
      <c r="M674" s="788">
        <v>100</v>
      </c>
      <c r="N674" s="707">
        <f>VLOOKUP($I674,Prices!A:D,4,0)</f>
        <v>52393</v>
      </c>
      <c r="O674" s="769">
        <f t="shared" si="48"/>
        <v>5239300</v>
      </c>
      <c r="P674" s="793">
        <f t="shared" si="46"/>
        <v>5239300</v>
      </c>
      <c r="Q674" s="869"/>
      <c r="R674" s="869"/>
      <c r="S674" s="865"/>
      <c r="T674" s="870"/>
      <c r="U674" s="854"/>
      <c r="V674" s="854"/>
      <c r="W674" s="854"/>
      <c r="X674" s="873"/>
      <c r="Y674" s="878"/>
      <c r="Z674" s="888"/>
      <c r="AA674" s="762" t="s">
        <v>1875</v>
      </c>
      <c r="AB674" s="775"/>
      <c r="AC674" s="775"/>
      <c r="AD674" s="775"/>
      <c r="AE674" s="775"/>
      <c r="AF674" s="775"/>
      <c r="AG674" s="775"/>
      <c r="AH674" s="775"/>
      <c r="AI674" s="775"/>
      <c r="AJ674" s="775"/>
      <c r="AK674" s="775"/>
      <c r="AL674" s="775"/>
      <c r="AM674" s="775"/>
      <c r="AN674" s="775"/>
      <c r="AO674" s="775"/>
      <c r="AP674" s="775"/>
    </row>
    <row r="675" spans="1:42" s="141" customFormat="1" ht="15.95" customHeight="1">
      <c r="A675" s="868"/>
      <c r="B675" s="868"/>
      <c r="C675" s="867"/>
      <c r="D675" s="868"/>
      <c r="E675" s="868"/>
      <c r="F675" s="890"/>
      <c r="G675" s="869"/>
      <c r="H675" s="870"/>
      <c r="I675" s="775" t="s">
        <v>1894</v>
      </c>
      <c r="J675" s="658">
        <f>VLOOKUP($I675,Prices!A:B,2,0)</f>
        <v>5</v>
      </c>
      <c r="K675" s="790">
        <f>VLOOKUP(I675,Prices!A:C,3,0)</f>
        <v>1</v>
      </c>
      <c r="L675" s="788">
        <v>11</v>
      </c>
      <c r="M675" s="788">
        <v>11</v>
      </c>
      <c r="N675" s="647">
        <f>VLOOKUP($I675,Prices!A:D,4,0)</f>
        <v>17400000</v>
      </c>
      <c r="O675" s="769">
        <f t="shared" si="48"/>
        <v>191400000</v>
      </c>
      <c r="P675" s="793">
        <f t="shared" si="46"/>
        <v>191400000</v>
      </c>
      <c r="Q675" s="869"/>
      <c r="R675" s="869"/>
      <c r="S675" s="865"/>
      <c r="T675" s="870"/>
      <c r="U675" s="854"/>
      <c r="V675" s="854"/>
      <c r="W675" s="854"/>
      <c r="X675" s="873"/>
      <c r="Y675" s="878"/>
      <c r="Z675" s="888"/>
      <c r="AA675" s="762" t="s">
        <v>1895</v>
      </c>
      <c r="AB675" s="775"/>
      <c r="AC675" s="775"/>
      <c r="AD675" s="775"/>
      <c r="AE675" s="775"/>
      <c r="AF675" s="775"/>
      <c r="AG675" s="775"/>
      <c r="AH675" s="775"/>
      <c r="AI675" s="775"/>
      <c r="AJ675" s="775"/>
      <c r="AK675" s="775"/>
      <c r="AL675" s="775"/>
      <c r="AM675" s="775"/>
      <c r="AN675" s="775"/>
      <c r="AO675" s="775"/>
      <c r="AP675" s="775"/>
    </row>
    <row r="676" spans="1:42" s="141" customFormat="1" ht="15.95" customHeight="1">
      <c r="A676" s="868"/>
      <c r="B676" s="868"/>
      <c r="C676" s="867"/>
      <c r="D676" s="868"/>
      <c r="E676" s="868"/>
      <c r="F676" s="890"/>
      <c r="G676" s="869"/>
      <c r="H676" s="870"/>
      <c r="I676" s="775" t="s">
        <v>1896</v>
      </c>
      <c r="J676" s="658">
        <f>VLOOKUP($I676,Prices!A:B,2,0)</f>
        <v>4</v>
      </c>
      <c r="K676" s="790">
        <f>VLOOKUP(I676,Prices!A:C,3,0)</f>
        <v>0</v>
      </c>
      <c r="L676" s="788" t="s">
        <v>224</v>
      </c>
      <c r="M676" s="788" t="str">
        <f>L676</f>
        <v>undisclosed</v>
      </c>
      <c r="N676" s="707">
        <f>VLOOKUP($I676,Prices!A:D,4,0)</f>
        <v>2285714</v>
      </c>
      <c r="O676" s="769" t="s">
        <v>194</v>
      </c>
      <c r="P676" s="793" t="s">
        <v>194</v>
      </c>
      <c r="Q676" s="869"/>
      <c r="R676" s="869"/>
      <c r="S676" s="865"/>
      <c r="T676" s="870"/>
      <c r="U676" s="854"/>
      <c r="V676" s="854"/>
      <c r="W676" s="854"/>
      <c r="X676" s="873"/>
      <c r="Y676" s="878"/>
      <c r="Z676" s="888"/>
      <c r="AA676" s="799"/>
      <c r="AB676" s="775"/>
      <c r="AC676" s="775"/>
      <c r="AD676" s="775"/>
      <c r="AE676" s="775"/>
      <c r="AF676" s="775"/>
      <c r="AG676" s="775"/>
      <c r="AH676" s="775"/>
      <c r="AI676" s="775"/>
      <c r="AJ676" s="775"/>
      <c r="AK676" s="775"/>
      <c r="AL676" s="775"/>
      <c r="AM676" s="775"/>
      <c r="AN676" s="775"/>
      <c r="AO676" s="775"/>
      <c r="AP676" s="775"/>
    </row>
    <row r="677" spans="1:42" s="141" customFormat="1" ht="15.95" customHeight="1">
      <c r="A677" s="868"/>
      <c r="B677" s="868"/>
      <c r="C677" s="867"/>
      <c r="D677" s="868"/>
      <c r="E677" s="868"/>
      <c r="F677" s="890"/>
      <c r="G677" s="869"/>
      <c r="H677" s="870"/>
      <c r="I677" s="775" t="s">
        <v>1102</v>
      </c>
      <c r="J677" s="658">
        <f>VLOOKUP($I677,Prices!A:B,2,0)</f>
        <v>1</v>
      </c>
      <c r="K677" s="790">
        <f>VLOOKUP(I677,Prices!A:C,3,0)</f>
        <v>0</v>
      </c>
      <c r="L677" s="788" t="s">
        <v>224</v>
      </c>
      <c r="M677" s="788" t="str">
        <f t="shared" ref="M677:M684" si="49">L677</f>
        <v>undisclosed</v>
      </c>
      <c r="N677" s="647" t="str">
        <f>VLOOKUP($I677,Prices!A:D,4,0)</f>
        <v>.</v>
      </c>
      <c r="O677" s="769" t="s">
        <v>194</v>
      </c>
      <c r="P677" s="793" t="s">
        <v>194</v>
      </c>
      <c r="Q677" s="869"/>
      <c r="R677" s="869"/>
      <c r="S677" s="865"/>
      <c r="T677" s="870"/>
      <c r="U677" s="854"/>
      <c r="V677" s="854"/>
      <c r="W677" s="854"/>
      <c r="X677" s="873"/>
      <c r="Y677" s="878"/>
      <c r="Z677" s="888"/>
      <c r="AA677" s="799"/>
      <c r="AB677" s="775"/>
      <c r="AC677" s="775"/>
      <c r="AD677" s="775"/>
      <c r="AE677" s="775"/>
      <c r="AF677" s="775"/>
      <c r="AG677" s="775"/>
      <c r="AH677" s="775"/>
      <c r="AI677" s="775"/>
      <c r="AJ677" s="775"/>
      <c r="AK677" s="775"/>
      <c r="AL677" s="775"/>
      <c r="AM677" s="775"/>
      <c r="AN677" s="775"/>
      <c r="AO677" s="775"/>
      <c r="AP677" s="775"/>
    </row>
    <row r="678" spans="1:42" s="141" customFormat="1" ht="15.95" customHeight="1">
      <c r="A678" s="868"/>
      <c r="B678" s="868"/>
      <c r="C678" s="867"/>
      <c r="D678" s="868"/>
      <c r="E678" s="868"/>
      <c r="F678" s="890"/>
      <c r="G678" s="869"/>
      <c r="H678" s="870"/>
      <c r="I678" s="775" t="s">
        <v>1471</v>
      </c>
      <c r="J678" s="658">
        <f>VLOOKUP($I678,Prices!A:B,2,0)</f>
        <v>1</v>
      </c>
      <c r="K678" s="790">
        <f>VLOOKUP(I678,Prices!A:C,3,0)</f>
        <v>0</v>
      </c>
      <c r="L678" s="788" t="s">
        <v>224</v>
      </c>
      <c r="M678" s="788" t="str">
        <f t="shared" si="49"/>
        <v>undisclosed</v>
      </c>
      <c r="N678" s="707" t="str">
        <f>VLOOKUP($I678,Prices!A:D,4,0)</f>
        <v>.</v>
      </c>
      <c r="O678" s="769" t="s">
        <v>194</v>
      </c>
      <c r="P678" s="793" t="s">
        <v>194</v>
      </c>
      <c r="Q678" s="869"/>
      <c r="R678" s="869"/>
      <c r="S678" s="865"/>
      <c r="T678" s="870"/>
      <c r="U678" s="854"/>
      <c r="V678" s="854"/>
      <c r="W678" s="854"/>
      <c r="X678" s="873"/>
      <c r="Y678" s="878"/>
      <c r="Z678" s="888"/>
      <c r="AA678" s="799"/>
      <c r="AB678" s="775"/>
      <c r="AC678" s="775"/>
      <c r="AD678" s="775"/>
      <c r="AE678" s="775"/>
      <c r="AF678" s="775"/>
      <c r="AG678" s="775"/>
      <c r="AH678" s="775"/>
      <c r="AI678" s="775"/>
      <c r="AJ678" s="775"/>
      <c r="AK678" s="775"/>
      <c r="AL678" s="775"/>
      <c r="AM678" s="775"/>
      <c r="AN678" s="775"/>
      <c r="AO678" s="775"/>
      <c r="AP678" s="775"/>
    </row>
    <row r="679" spans="1:42" s="141" customFormat="1" ht="15.95" customHeight="1">
      <c r="A679" s="868"/>
      <c r="B679" s="868"/>
      <c r="C679" s="867"/>
      <c r="D679" s="868"/>
      <c r="E679" s="868"/>
      <c r="F679" s="890"/>
      <c r="G679" s="869"/>
      <c r="H679" s="870"/>
      <c r="I679" s="775" t="s">
        <v>348</v>
      </c>
      <c r="J679" s="658">
        <f>VLOOKUP($I679,Prices!A:B,2,0)</f>
        <v>1</v>
      </c>
      <c r="K679" s="790">
        <f>VLOOKUP(I679,Prices!A:C,3,0)</f>
        <v>0</v>
      </c>
      <c r="L679" s="788" t="s">
        <v>224</v>
      </c>
      <c r="M679" s="788" t="str">
        <f t="shared" si="49"/>
        <v>undisclosed</v>
      </c>
      <c r="N679" s="647">
        <f>VLOOKUP($I679,Prices!A:D,4,0)</f>
        <v>500</v>
      </c>
      <c r="O679" s="769" t="s">
        <v>194</v>
      </c>
      <c r="P679" s="793" t="s">
        <v>194</v>
      </c>
      <c r="Q679" s="869"/>
      <c r="R679" s="869"/>
      <c r="S679" s="865"/>
      <c r="T679" s="870"/>
      <c r="U679" s="854"/>
      <c r="V679" s="854"/>
      <c r="W679" s="854"/>
      <c r="X679" s="873"/>
      <c r="Y679" s="878"/>
      <c r="Z679" s="888"/>
      <c r="AA679" s="799"/>
      <c r="AB679" s="775"/>
      <c r="AC679" s="775"/>
      <c r="AD679" s="775"/>
      <c r="AE679" s="775"/>
      <c r="AF679" s="775"/>
      <c r="AG679" s="775"/>
      <c r="AH679" s="775"/>
      <c r="AI679" s="775"/>
      <c r="AJ679" s="775"/>
      <c r="AK679" s="775"/>
      <c r="AL679" s="775"/>
      <c r="AM679" s="775"/>
      <c r="AN679" s="775"/>
      <c r="AO679" s="775"/>
      <c r="AP679" s="775"/>
    </row>
    <row r="680" spans="1:42" s="141" customFormat="1" ht="15.95" customHeight="1">
      <c r="A680" s="868"/>
      <c r="B680" s="868"/>
      <c r="C680" s="867"/>
      <c r="D680" s="868"/>
      <c r="E680" s="868"/>
      <c r="F680" s="890"/>
      <c r="G680" s="869"/>
      <c r="H680" s="870"/>
      <c r="I680" s="775" t="s">
        <v>344</v>
      </c>
      <c r="J680" s="658">
        <f>VLOOKUP($I680,Prices!A:B,2,0)</f>
        <v>1</v>
      </c>
      <c r="K680" s="790">
        <f>VLOOKUP(I680,Prices!A:C,3,0)</f>
        <v>0</v>
      </c>
      <c r="L680" s="788" t="s">
        <v>224</v>
      </c>
      <c r="M680" s="788" t="str">
        <f t="shared" si="49"/>
        <v>undisclosed</v>
      </c>
      <c r="N680" s="707">
        <f>VLOOKUP($I680,Prices!A:D,4,0)</f>
        <v>1400</v>
      </c>
      <c r="O680" s="769" t="s">
        <v>194</v>
      </c>
      <c r="P680" s="793" t="s">
        <v>194</v>
      </c>
      <c r="Q680" s="869"/>
      <c r="R680" s="869"/>
      <c r="S680" s="865"/>
      <c r="T680" s="870"/>
      <c r="U680" s="854"/>
      <c r="V680" s="854"/>
      <c r="W680" s="854"/>
      <c r="X680" s="873"/>
      <c r="Y680" s="878"/>
      <c r="Z680" s="888"/>
      <c r="AA680" s="799"/>
      <c r="AB680" s="775"/>
      <c r="AC680" s="775"/>
      <c r="AD680" s="775"/>
      <c r="AE680" s="775"/>
      <c r="AF680" s="775"/>
      <c r="AG680" s="775"/>
      <c r="AH680" s="775"/>
      <c r="AI680" s="775"/>
      <c r="AJ680" s="775"/>
      <c r="AK680" s="775"/>
      <c r="AL680" s="775"/>
      <c r="AM680" s="775"/>
      <c r="AN680" s="775"/>
      <c r="AO680" s="775"/>
      <c r="AP680" s="775"/>
    </row>
    <row r="681" spans="1:42" s="141" customFormat="1" ht="15.95" customHeight="1">
      <c r="A681" s="868"/>
      <c r="B681" s="868"/>
      <c r="C681" s="867"/>
      <c r="D681" s="868"/>
      <c r="E681" s="868"/>
      <c r="F681" s="890"/>
      <c r="G681" s="869"/>
      <c r="H681" s="870"/>
      <c r="I681" s="775" t="s">
        <v>1897</v>
      </c>
      <c r="J681" s="658">
        <f>VLOOKUP($I681,Prices!A:B,2,0)</f>
        <v>1</v>
      </c>
      <c r="K681" s="790">
        <f>VLOOKUP(I681,Prices!A:C,3,0)</f>
        <v>0</v>
      </c>
      <c r="L681" s="788" t="s">
        <v>224</v>
      </c>
      <c r="M681" s="788" t="str">
        <f t="shared" si="49"/>
        <v>undisclosed</v>
      </c>
      <c r="N681" s="647" t="str">
        <f>VLOOKUP($I681,Prices!A:D,4,0)</f>
        <v>.</v>
      </c>
      <c r="O681" s="769" t="s">
        <v>194</v>
      </c>
      <c r="P681" s="793" t="s">
        <v>194</v>
      </c>
      <c r="Q681" s="869"/>
      <c r="R681" s="869"/>
      <c r="S681" s="865"/>
      <c r="T681" s="870"/>
      <c r="U681" s="854"/>
      <c r="V681" s="854"/>
      <c r="W681" s="854"/>
      <c r="X681" s="873"/>
      <c r="Y681" s="878"/>
      <c r="Z681" s="888"/>
      <c r="AA681" s="799"/>
      <c r="AB681" s="775"/>
      <c r="AC681" s="775"/>
      <c r="AD681" s="775"/>
      <c r="AE681" s="775"/>
      <c r="AF681" s="775"/>
      <c r="AG681" s="775"/>
      <c r="AH681" s="775"/>
      <c r="AI681" s="775"/>
      <c r="AJ681" s="775"/>
      <c r="AK681" s="775"/>
      <c r="AL681" s="775"/>
      <c r="AM681" s="775"/>
      <c r="AN681" s="775"/>
      <c r="AO681" s="775"/>
      <c r="AP681" s="775"/>
    </row>
    <row r="682" spans="1:42" s="141" customFormat="1" ht="15.95" customHeight="1">
      <c r="A682" s="868"/>
      <c r="B682" s="868"/>
      <c r="C682" s="867"/>
      <c r="D682" s="868"/>
      <c r="E682" s="868"/>
      <c r="F682" s="890"/>
      <c r="G682" s="869"/>
      <c r="H682" s="870"/>
      <c r="I682" s="775" t="s">
        <v>687</v>
      </c>
      <c r="J682" s="658">
        <f>VLOOKUP($I682,Prices!A:B,2,0)</f>
        <v>1</v>
      </c>
      <c r="K682" s="790">
        <f>VLOOKUP(I682,Prices!A:C,3,0)</f>
        <v>0</v>
      </c>
      <c r="L682" s="788" t="s">
        <v>224</v>
      </c>
      <c r="M682" s="788" t="str">
        <f t="shared" si="49"/>
        <v>undisclosed</v>
      </c>
      <c r="N682" s="707" t="str">
        <f>VLOOKUP($I682,Prices!A:D,4,0)</f>
        <v>.</v>
      </c>
      <c r="O682" s="769" t="s">
        <v>194</v>
      </c>
      <c r="P682" s="793" t="s">
        <v>194</v>
      </c>
      <c r="Q682" s="869"/>
      <c r="R682" s="869"/>
      <c r="S682" s="865"/>
      <c r="T682" s="870"/>
      <c r="U682" s="854"/>
      <c r="V682" s="854"/>
      <c r="W682" s="854"/>
      <c r="X682" s="873"/>
      <c r="Y682" s="878"/>
      <c r="Z682" s="888"/>
      <c r="AA682" s="799"/>
      <c r="AB682" s="775"/>
      <c r="AC682" s="775"/>
      <c r="AD682" s="775"/>
      <c r="AE682" s="775"/>
      <c r="AF682" s="775"/>
      <c r="AG682" s="775"/>
      <c r="AH682" s="775"/>
      <c r="AI682" s="775"/>
      <c r="AJ682" s="775"/>
      <c r="AK682" s="775"/>
      <c r="AL682" s="775"/>
      <c r="AM682" s="775"/>
      <c r="AN682" s="775"/>
      <c r="AO682" s="775"/>
      <c r="AP682" s="775"/>
    </row>
    <row r="683" spans="1:42" s="141" customFormat="1" ht="15.95" customHeight="1">
      <c r="A683" s="868"/>
      <c r="B683" s="868"/>
      <c r="C683" s="867"/>
      <c r="D683" s="868"/>
      <c r="E683" s="868"/>
      <c r="F683" s="890"/>
      <c r="G683" s="869"/>
      <c r="H683" s="870"/>
      <c r="I683" s="775" t="s">
        <v>1898</v>
      </c>
      <c r="J683" s="658">
        <f>VLOOKUP($I683,Prices!A:B,2,0)</f>
        <v>1</v>
      </c>
      <c r="K683" s="790">
        <f>VLOOKUP(I683,Prices!A:C,3,0)</f>
        <v>0</v>
      </c>
      <c r="L683" s="788" t="s">
        <v>224</v>
      </c>
      <c r="M683" s="788" t="str">
        <f t="shared" si="49"/>
        <v>undisclosed</v>
      </c>
      <c r="N683" s="647">
        <f>VLOOKUP($I683,Prices!A:D,4,0)</f>
        <v>35</v>
      </c>
      <c r="O683" s="769" t="s">
        <v>194</v>
      </c>
      <c r="P683" s="793" t="s">
        <v>194</v>
      </c>
      <c r="Q683" s="869"/>
      <c r="R683" s="869"/>
      <c r="S683" s="865"/>
      <c r="T683" s="870"/>
      <c r="U683" s="854"/>
      <c r="V683" s="854"/>
      <c r="W683" s="854"/>
      <c r="X683" s="873"/>
      <c r="Y683" s="878"/>
      <c r="Z683" s="888"/>
      <c r="AA683" s="799"/>
      <c r="AB683" s="775"/>
      <c r="AC683" s="775"/>
      <c r="AD683" s="775"/>
      <c r="AE683" s="775"/>
      <c r="AF683" s="775"/>
      <c r="AG683" s="775"/>
      <c r="AH683" s="775"/>
      <c r="AI683" s="775"/>
      <c r="AJ683" s="775"/>
      <c r="AK683" s="775"/>
      <c r="AL683" s="775"/>
      <c r="AM683" s="775"/>
      <c r="AN683" s="775"/>
      <c r="AO683" s="775"/>
      <c r="AP683" s="775"/>
    </row>
    <row r="684" spans="1:42" s="141" customFormat="1" ht="15.95" customHeight="1">
      <c r="A684" s="868"/>
      <c r="B684" s="868"/>
      <c r="C684" s="867"/>
      <c r="D684" s="868"/>
      <c r="E684" s="868"/>
      <c r="F684" s="890"/>
      <c r="G684" s="869"/>
      <c r="H684" s="870"/>
      <c r="I684" s="775" t="s">
        <v>1899</v>
      </c>
      <c r="J684" s="658">
        <f>VLOOKUP($I684,Prices!A:B,2,0)</f>
        <v>4.5</v>
      </c>
      <c r="K684" s="790">
        <f>VLOOKUP(I684,Prices!A:C,3,0)</f>
        <v>0</v>
      </c>
      <c r="L684" s="788" t="s">
        <v>224</v>
      </c>
      <c r="M684" s="788" t="str">
        <f t="shared" si="49"/>
        <v>undisclosed</v>
      </c>
      <c r="N684" s="707">
        <f>VLOOKUP($I684,Prices!A:D,4,0)</f>
        <v>240.38</v>
      </c>
      <c r="O684" s="769" t="s">
        <v>194</v>
      </c>
      <c r="P684" s="793" t="s">
        <v>194</v>
      </c>
      <c r="Q684" s="869"/>
      <c r="R684" s="869"/>
      <c r="S684" s="865"/>
      <c r="T684" s="870"/>
      <c r="U684" s="854"/>
      <c r="V684" s="854"/>
      <c r="W684" s="854"/>
      <c r="X684" s="873"/>
      <c r="Y684" s="878"/>
      <c r="Z684" s="888"/>
      <c r="AA684" s="799"/>
      <c r="AB684" s="775"/>
      <c r="AC684" s="775"/>
      <c r="AD684" s="775"/>
      <c r="AE684" s="775"/>
      <c r="AF684" s="775"/>
      <c r="AG684" s="775"/>
      <c r="AH684" s="775"/>
      <c r="AI684" s="775"/>
      <c r="AJ684" s="775"/>
      <c r="AK684" s="775"/>
      <c r="AL684" s="775"/>
      <c r="AM684" s="775"/>
      <c r="AN684" s="775"/>
      <c r="AO684" s="775"/>
      <c r="AP684" s="775"/>
    </row>
    <row r="685" spans="1:42" s="141" customFormat="1" ht="36.75" customHeight="1">
      <c r="A685" s="868"/>
      <c r="B685" s="868"/>
      <c r="C685" s="780">
        <v>44656</v>
      </c>
      <c r="D685" s="868"/>
      <c r="E685" s="775" t="s">
        <v>320</v>
      </c>
      <c r="F685" s="773" t="s">
        <v>1900</v>
      </c>
      <c r="G685" s="772">
        <v>100000000</v>
      </c>
      <c r="H685" s="757" t="s">
        <v>260</v>
      </c>
      <c r="I685" s="775" t="s">
        <v>675</v>
      </c>
      <c r="J685" s="658">
        <f>VLOOKUP($I685,Prices!A:B,2,0)</f>
        <v>3</v>
      </c>
      <c r="K685" s="790">
        <f>VLOOKUP(I685,Prices!A:C,3,0)</f>
        <v>0</v>
      </c>
      <c r="L685" s="788" t="s">
        <v>224</v>
      </c>
      <c r="M685" s="788" t="s">
        <v>224</v>
      </c>
      <c r="N685" s="647">
        <f>VLOOKUP($I685,Prices!A:D,4,0)</f>
        <v>80000</v>
      </c>
      <c r="O685" s="769" t="s">
        <v>194</v>
      </c>
      <c r="P685" s="793" t="s">
        <v>194</v>
      </c>
      <c r="Q685" s="869"/>
      <c r="R685" s="869"/>
      <c r="S685" s="865"/>
      <c r="T685" s="870"/>
      <c r="U685" s="756" t="s">
        <v>1869</v>
      </c>
      <c r="V685" s="756" t="s">
        <v>1848</v>
      </c>
      <c r="W685" s="783" t="s">
        <v>194</v>
      </c>
      <c r="X685" s="766" t="s">
        <v>194</v>
      </c>
      <c r="Y685" s="878"/>
      <c r="Z685" s="888"/>
      <c r="AA685" s="762" t="s">
        <v>1891</v>
      </c>
      <c r="AB685" s="775"/>
      <c r="AC685" s="775"/>
      <c r="AD685" s="775"/>
      <c r="AE685" s="775"/>
      <c r="AF685" s="775"/>
      <c r="AG685" s="775"/>
      <c r="AH685" s="775"/>
      <c r="AI685" s="775"/>
      <c r="AJ685" s="775"/>
      <c r="AK685" s="775"/>
      <c r="AL685" s="775"/>
      <c r="AM685" s="775"/>
      <c r="AN685" s="775"/>
      <c r="AO685" s="775"/>
      <c r="AP685" s="775"/>
    </row>
    <row r="686" spans="1:42" s="141" customFormat="1" ht="15.95" customHeight="1">
      <c r="A686" s="868"/>
      <c r="B686" s="868"/>
      <c r="C686" s="867">
        <v>44672</v>
      </c>
      <c r="D686" s="868"/>
      <c r="E686" s="868" t="s">
        <v>320</v>
      </c>
      <c r="F686" s="890" t="s">
        <v>1901</v>
      </c>
      <c r="G686" s="869">
        <v>800000000</v>
      </c>
      <c r="H686" s="870" t="s">
        <v>260</v>
      </c>
      <c r="I686" s="775" t="s">
        <v>246</v>
      </c>
      <c r="J686" s="658">
        <f>VLOOKUP($I686,Prices!A:B,2,0)</f>
        <v>4</v>
      </c>
      <c r="K686" s="790">
        <f>VLOOKUP(I686,Prices!A:C,3,0)</f>
        <v>0</v>
      </c>
      <c r="L686" s="788">
        <v>72</v>
      </c>
      <c r="M686" s="788">
        <v>72</v>
      </c>
      <c r="N686" s="707">
        <f>VLOOKUP($I686,Prices!A:D,4,0)</f>
        <v>5170000</v>
      </c>
      <c r="O686" s="769">
        <f t="shared" si="48"/>
        <v>372240000</v>
      </c>
      <c r="P686" s="793">
        <f>M686*N686</f>
        <v>372240000</v>
      </c>
      <c r="Q686" s="869"/>
      <c r="R686" s="869"/>
      <c r="S686" s="865"/>
      <c r="T686" s="870"/>
      <c r="U686" s="854" t="s">
        <v>1869</v>
      </c>
      <c r="V686" s="854" t="s">
        <v>1848</v>
      </c>
      <c r="W686" s="854" t="s">
        <v>1902</v>
      </c>
      <c r="X686" s="883" t="s">
        <v>1903</v>
      </c>
      <c r="Y686" s="878"/>
      <c r="Z686" s="888"/>
      <c r="AA686" s="762" t="s">
        <v>1904</v>
      </c>
      <c r="AB686" s="775"/>
      <c r="AC686" s="775"/>
      <c r="AD686" s="775"/>
      <c r="AE686" s="775"/>
      <c r="AF686" s="775"/>
      <c r="AG686" s="775"/>
      <c r="AH686" s="775"/>
      <c r="AI686" s="775"/>
      <c r="AJ686" s="775"/>
      <c r="AK686" s="775"/>
      <c r="AL686" s="775"/>
      <c r="AM686" s="775"/>
      <c r="AN686" s="775"/>
      <c r="AO686" s="775"/>
      <c r="AP686" s="775"/>
    </row>
    <row r="687" spans="1:42" s="141" customFormat="1" ht="15.95" customHeight="1">
      <c r="A687" s="868"/>
      <c r="B687" s="868"/>
      <c r="C687" s="867"/>
      <c r="D687" s="868"/>
      <c r="E687" s="868"/>
      <c r="F687" s="890"/>
      <c r="G687" s="869"/>
      <c r="H687" s="870"/>
      <c r="I687" s="775" t="s">
        <v>1905</v>
      </c>
      <c r="J687" s="658">
        <f>VLOOKUP($I687,Prices!A:B,2,0)</f>
        <v>1</v>
      </c>
      <c r="K687" s="790">
        <f>VLOOKUP(I687,Prices!A:C,3,0)</f>
        <v>0</v>
      </c>
      <c r="L687" s="788">
        <v>72</v>
      </c>
      <c r="M687" s="788" t="s">
        <v>194</v>
      </c>
      <c r="N687" s="647">
        <f>VLOOKUP($I687,Prices!A:D,4,0)</f>
        <v>350000</v>
      </c>
      <c r="O687" s="769">
        <f t="shared" si="48"/>
        <v>25200000</v>
      </c>
      <c r="P687" s="793" t="s">
        <v>194</v>
      </c>
      <c r="Q687" s="869"/>
      <c r="R687" s="869"/>
      <c r="S687" s="865"/>
      <c r="T687" s="870"/>
      <c r="U687" s="854"/>
      <c r="V687" s="854"/>
      <c r="W687" s="854"/>
      <c r="X687" s="883"/>
      <c r="Y687" s="878"/>
      <c r="Z687" s="888"/>
      <c r="AA687" s="799"/>
      <c r="AB687" s="775"/>
      <c r="AC687" s="775"/>
      <c r="AD687" s="775"/>
      <c r="AE687" s="775"/>
      <c r="AF687" s="775"/>
      <c r="AG687" s="775"/>
      <c r="AH687" s="775"/>
      <c r="AI687" s="775"/>
      <c r="AJ687" s="775"/>
      <c r="AK687" s="775"/>
      <c r="AL687" s="775"/>
      <c r="AM687" s="775"/>
      <c r="AN687" s="775"/>
      <c r="AO687" s="775"/>
      <c r="AP687" s="775"/>
    </row>
    <row r="688" spans="1:42" s="141" customFormat="1" ht="15.95" customHeight="1">
      <c r="A688" s="868"/>
      <c r="B688" s="868"/>
      <c r="C688" s="867"/>
      <c r="D688" s="868"/>
      <c r="E688" s="868"/>
      <c r="F688" s="890"/>
      <c r="G688" s="869"/>
      <c r="H688" s="870"/>
      <c r="I688" s="775" t="s">
        <v>1906</v>
      </c>
      <c r="J688" s="658">
        <f>VLOOKUP($I688,Prices!A:B,2,0)</f>
        <v>5</v>
      </c>
      <c r="K688" s="790">
        <f>VLOOKUP(I688,Prices!A:C,3,0)</f>
        <v>0</v>
      </c>
      <c r="L688" s="788">
        <v>121</v>
      </c>
      <c r="M688" s="788" t="s">
        <v>1907</v>
      </c>
      <c r="N688" s="707">
        <f>VLOOKUP($I688,Prices!A:D,4,0)</f>
        <v>6000</v>
      </c>
      <c r="O688" s="769">
        <f t="shared" si="48"/>
        <v>726000</v>
      </c>
      <c r="P688" s="793" t="s">
        <v>194</v>
      </c>
      <c r="Q688" s="869"/>
      <c r="R688" s="869"/>
      <c r="S688" s="865"/>
      <c r="T688" s="870"/>
      <c r="U688" s="854"/>
      <c r="V688" s="854"/>
      <c r="W688" s="854"/>
      <c r="X688" s="883"/>
      <c r="Y688" s="878"/>
      <c r="Z688" s="888"/>
      <c r="AA688" s="762" t="s">
        <v>1908</v>
      </c>
      <c r="AB688" s="775"/>
      <c r="AC688" s="775"/>
      <c r="AD688" s="775"/>
      <c r="AE688" s="775"/>
      <c r="AF688" s="775"/>
      <c r="AG688" s="775"/>
      <c r="AH688" s="775"/>
      <c r="AI688" s="775"/>
      <c r="AJ688" s="775"/>
      <c r="AK688" s="775"/>
      <c r="AL688" s="775"/>
      <c r="AM688" s="775"/>
      <c r="AN688" s="775"/>
      <c r="AO688" s="775"/>
      <c r="AP688" s="775"/>
    </row>
    <row r="689" spans="1:42" s="141" customFormat="1" ht="15.95" customHeight="1">
      <c r="A689" s="868"/>
      <c r="B689" s="868"/>
      <c r="C689" s="867"/>
      <c r="D689" s="868"/>
      <c r="E689" s="868"/>
      <c r="F689" s="890"/>
      <c r="G689" s="869"/>
      <c r="H689" s="870"/>
      <c r="I689" s="775" t="s">
        <v>1909</v>
      </c>
      <c r="J689" s="658">
        <f>VLOOKUP($I689,Prices!A:B,2,0)</f>
        <v>1</v>
      </c>
      <c r="K689" s="790">
        <f>VLOOKUP(I689,Prices!A:C,3,0)</f>
        <v>0</v>
      </c>
      <c r="L689" s="788" t="s">
        <v>224</v>
      </c>
      <c r="M689" s="788" t="s">
        <v>194</v>
      </c>
      <c r="N689" s="647" t="str">
        <f>VLOOKUP($I689,Prices!A:D,4,0)</f>
        <v>.</v>
      </c>
      <c r="O689" s="769" t="s">
        <v>194</v>
      </c>
      <c r="P689" s="793" t="s">
        <v>194</v>
      </c>
      <c r="Q689" s="869"/>
      <c r="R689" s="869"/>
      <c r="S689" s="865"/>
      <c r="T689" s="870"/>
      <c r="U689" s="854"/>
      <c r="V689" s="854"/>
      <c r="W689" s="854"/>
      <c r="X689" s="883"/>
      <c r="Y689" s="878"/>
      <c r="Z689" s="888"/>
      <c r="AA689" s="799"/>
      <c r="AB689" s="775"/>
      <c r="AC689" s="775"/>
      <c r="AD689" s="775"/>
      <c r="AE689" s="775"/>
      <c r="AF689" s="775"/>
      <c r="AG689" s="775"/>
      <c r="AH689" s="775"/>
      <c r="AI689" s="775"/>
      <c r="AJ689" s="775"/>
      <c r="AK689" s="775"/>
      <c r="AL689" s="775"/>
      <c r="AM689" s="775"/>
      <c r="AN689" s="775"/>
      <c r="AO689" s="775"/>
      <c r="AP689" s="775"/>
    </row>
    <row r="690" spans="1:42" s="141" customFormat="1" ht="15.95" customHeight="1">
      <c r="A690" s="868"/>
      <c r="B690" s="868"/>
      <c r="C690" s="867">
        <v>44687</v>
      </c>
      <c r="D690" s="868"/>
      <c r="E690" s="868" t="s">
        <v>221</v>
      </c>
      <c r="F690" s="890" t="s">
        <v>1910</v>
      </c>
      <c r="G690" s="869">
        <v>150000000</v>
      </c>
      <c r="H690" s="870" t="s">
        <v>260</v>
      </c>
      <c r="I690" s="775" t="s">
        <v>1886</v>
      </c>
      <c r="J690" s="658">
        <f>VLOOKUP($I690,Prices!A:B,2,0)</f>
        <v>4.5</v>
      </c>
      <c r="K690" s="790">
        <f>VLOOKUP(I690,Prices!A:C,3,0)</f>
        <v>0</v>
      </c>
      <c r="L690" s="788">
        <v>25000</v>
      </c>
      <c r="M690" s="788">
        <v>25000</v>
      </c>
      <c r="N690" s="707">
        <f>VLOOKUP($I690,Prices!A:D,4,0)</f>
        <v>2000</v>
      </c>
      <c r="O690" s="769">
        <f t="shared" si="48"/>
        <v>50000000</v>
      </c>
      <c r="P690" s="793">
        <f>M690*N690</f>
        <v>50000000</v>
      </c>
      <c r="Q690" s="869"/>
      <c r="R690" s="869"/>
      <c r="S690" s="865"/>
      <c r="T690" s="870"/>
      <c r="U690" s="854" t="s">
        <v>1911</v>
      </c>
      <c r="V690" s="854" t="s">
        <v>1912</v>
      </c>
      <c r="W690" s="783" t="s">
        <v>194</v>
      </c>
      <c r="X690" s="766" t="s">
        <v>194</v>
      </c>
      <c r="Y690" s="878"/>
      <c r="Z690" s="888"/>
      <c r="AA690" s="731" t="s">
        <v>1913</v>
      </c>
      <c r="AB690" s="775"/>
      <c r="AC690" s="775"/>
      <c r="AD690" s="775"/>
      <c r="AE690" s="775"/>
      <c r="AF690" s="775"/>
      <c r="AG690" s="775"/>
      <c r="AH690" s="775"/>
      <c r="AI690" s="775"/>
      <c r="AJ690" s="775"/>
      <c r="AK690" s="775"/>
      <c r="AL690" s="775"/>
      <c r="AM690" s="775"/>
      <c r="AN690" s="775"/>
      <c r="AO690" s="775"/>
      <c r="AP690" s="775"/>
    </row>
    <row r="691" spans="1:42" s="141" customFormat="1" ht="15.95" customHeight="1">
      <c r="A691" s="868"/>
      <c r="B691" s="868"/>
      <c r="C691" s="867"/>
      <c r="D691" s="868"/>
      <c r="E691" s="868"/>
      <c r="F691" s="890"/>
      <c r="G691" s="869"/>
      <c r="H691" s="870"/>
      <c r="I691" s="775" t="s">
        <v>1887</v>
      </c>
      <c r="J691" s="658">
        <f>VLOOKUP($I691,Prices!A:B,2,0)</f>
        <v>1</v>
      </c>
      <c r="K691" s="790">
        <f>VLOOKUP(I691,Prices!A:C,3,0)</f>
        <v>0</v>
      </c>
      <c r="L691" s="788">
        <v>3</v>
      </c>
      <c r="M691" s="788" t="s">
        <v>194</v>
      </c>
      <c r="N691" s="647">
        <f>VLOOKUP($I691,Prices!A:D,4,0)</f>
        <v>8888888</v>
      </c>
      <c r="O691" s="769">
        <f t="shared" si="48"/>
        <v>26666664</v>
      </c>
      <c r="P691" s="793" t="s">
        <v>194</v>
      </c>
      <c r="Q691" s="869"/>
      <c r="R691" s="869"/>
      <c r="S691" s="865"/>
      <c r="T691" s="870"/>
      <c r="U691" s="854"/>
      <c r="V691" s="854"/>
      <c r="W691" s="783" t="s">
        <v>194</v>
      </c>
      <c r="X691" s="766" t="s">
        <v>194</v>
      </c>
      <c r="Y691" s="878"/>
      <c r="Z691" s="888"/>
      <c r="AA691" s="799"/>
      <c r="AB691" s="775"/>
      <c r="AC691" s="775"/>
      <c r="AD691" s="775"/>
      <c r="AE691" s="775"/>
      <c r="AF691" s="775"/>
      <c r="AG691" s="775"/>
      <c r="AH691" s="775"/>
      <c r="AI691" s="775"/>
      <c r="AJ691" s="775"/>
      <c r="AK691" s="775"/>
      <c r="AL691" s="775"/>
      <c r="AM691" s="775"/>
      <c r="AN691" s="775"/>
      <c r="AO691" s="775"/>
      <c r="AP691" s="775"/>
    </row>
    <row r="692" spans="1:42" s="141" customFormat="1" ht="15.95" customHeight="1">
      <c r="A692" s="868"/>
      <c r="B692" s="868"/>
      <c r="C692" s="867"/>
      <c r="D692" s="868"/>
      <c r="E692" s="868"/>
      <c r="F692" s="890"/>
      <c r="G692" s="869"/>
      <c r="H692" s="870"/>
      <c r="I692" s="775" t="s">
        <v>1914</v>
      </c>
      <c r="J692" s="658">
        <f>VLOOKUP($I692,Prices!A:B,2,0)</f>
        <v>1</v>
      </c>
      <c r="K692" s="790">
        <f>VLOOKUP(I692,Prices!A:C,3,0)</f>
        <v>0</v>
      </c>
      <c r="L692" s="788" t="s">
        <v>194</v>
      </c>
      <c r="M692" s="788" t="s">
        <v>194</v>
      </c>
      <c r="N692" s="707" t="str">
        <f>VLOOKUP($I692,Prices!A:D,4,0)</f>
        <v>.</v>
      </c>
      <c r="O692" s="769" t="s">
        <v>194</v>
      </c>
      <c r="P692" s="793" t="s">
        <v>194</v>
      </c>
      <c r="Q692" s="869"/>
      <c r="R692" s="869"/>
      <c r="S692" s="865"/>
      <c r="T692" s="870"/>
      <c r="U692" s="854"/>
      <c r="V692" s="854"/>
      <c r="W692" s="783" t="s">
        <v>194</v>
      </c>
      <c r="X692" s="766" t="s">
        <v>194</v>
      </c>
      <c r="Y692" s="878"/>
      <c r="Z692" s="888"/>
      <c r="AA692" s="799"/>
      <c r="AB692" s="775"/>
      <c r="AC692" s="775"/>
      <c r="AD692" s="775"/>
      <c r="AE692" s="775"/>
      <c r="AF692" s="775"/>
      <c r="AG692" s="775"/>
      <c r="AH692" s="775"/>
      <c r="AI692" s="775"/>
      <c r="AJ692" s="775"/>
      <c r="AK692" s="775"/>
      <c r="AL692" s="775"/>
      <c r="AM692" s="775"/>
      <c r="AN692" s="775"/>
      <c r="AO692" s="775"/>
      <c r="AP692" s="775"/>
    </row>
    <row r="693" spans="1:42" s="141" customFormat="1" ht="15.95" customHeight="1">
      <c r="A693" s="868"/>
      <c r="B693" s="868"/>
      <c r="C693" s="867"/>
      <c r="D693" s="868"/>
      <c r="E693" s="868"/>
      <c r="F693" s="890"/>
      <c r="G693" s="869"/>
      <c r="H693" s="870"/>
      <c r="I693" s="766" t="s">
        <v>1909</v>
      </c>
      <c r="J693" s="658">
        <f>VLOOKUP($I693,Prices!A:B,2,0)</f>
        <v>1</v>
      </c>
      <c r="K693" s="790">
        <f>VLOOKUP(I693,Prices!A:C,3,0)</f>
        <v>0</v>
      </c>
      <c r="L693" s="788" t="s">
        <v>194</v>
      </c>
      <c r="M693" s="788" t="s">
        <v>194</v>
      </c>
      <c r="N693" s="647" t="str">
        <f>VLOOKUP($I693,Prices!A:D,4,0)</f>
        <v>.</v>
      </c>
      <c r="O693" s="769" t="s">
        <v>194</v>
      </c>
      <c r="P693" s="793" t="s">
        <v>194</v>
      </c>
      <c r="Q693" s="869"/>
      <c r="R693" s="869"/>
      <c r="S693" s="865"/>
      <c r="T693" s="870"/>
      <c r="U693" s="854"/>
      <c r="V693" s="854"/>
      <c r="W693" s="783" t="s">
        <v>194</v>
      </c>
      <c r="X693" s="766" t="s">
        <v>194</v>
      </c>
      <c r="Y693" s="878"/>
      <c r="Z693" s="888"/>
      <c r="AA693" s="799"/>
      <c r="AB693" s="775"/>
      <c r="AC693" s="775"/>
      <c r="AD693" s="775"/>
      <c r="AE693" s="775"/>
      <c r="AF693" s="775"/>
      <c r="AG693" s="775"/>
      <c r="AH693" s="775"/>
      <c r="AI693" s="775"/>
      <c r="AJ693" s="775"/>
      <c r="AK693" s="775"/>
      <c r="AL693" s="775"/>
      <c r="AM693" s="775"/>
      <c r="AN693" s="775"/>
      <c r="AO693" s="775"/>
      <c r="AP693" s="775"/>
    </row>
    <row r="694" spans="1:42" s="141" customFormat="1" ht="15.95" customHeight="1">
      <c r="A694" s="868"/>
      <c r="B694" s="868"/>
      <c r="C694" s="867"/>
      <c r="D694" s="868"/>
      <c r="E694" s="868"/>
      <c r="F694" s="890"/>
      <c r="G694" s="869"/>
      <c r="H694" s="870"/>
      <c r="I694" s="766" t="s">
        <v>1915</v>
      </c>
      <c r="J694" s="658">
        <f>VLOOKUP($I694,Prices!A:B,2,0)</f>
        <v>1</v>
      </c>
      <c r="K694" s="790">
        <f>VLOOKUP(I694,Prices!A:C,3,0)</f>
        <v>0</v>
      </c>
      <c r="L694" s="788" t="s">
        <v>194</v>
      </c>
      <c r="M694" s="788" t="s">
        <v>194</v>
      </c>
      <c r="N694" s="707" t="str">
        <f>VLOOKUP($I694,Prices!A:D,4,0)</f>
        <v>.</v>
      </c>
      <c r="O694" s="769" t="s">
        <v>194</v>
      </c>
      <c r="P694" s="793" t="s">
        <v>194</v>
      </c>
      <c r="Q694" s="869"/>
      <c r="R694" s="869"/>
      <c r="S694" s="865"/>
      <c r="T694" s="870"/>
      <c r="U694" s="756"/>
      <c r="V694" s="756"/>
      <c r="W694" s="783"/>
      <c r="X694" s="766"/>
      <c r="Y694" s="878"/>
      <c r="Z694" s="888"/>
      <c r="AA694" s="799"/>
      <c r="AB694" s="775"/>
      <c r="AC694" s="775"/>
      <c r="AD694" s="775"/>
      <c r="AE694" s="775"/>
      <c r="AF694" s="775"/>
      <c r="AG694" s="775"/>
      <c r="AH694" s="775"/>
      <c r="AI694" s="775"/>
      <c r="AJ694" s="775"/>
      <c r="AK694" s="775"/>
      <c r="AL694" s="775"/>
      <c r="AM694" s="775"/>
      <c r="AN694" s="775"/>
      <c r="AO694" s="775"/>
      <c r="AP694" s="775"/>
    </row>
    <row r="695" spans="1:42" s="141" customFormat="1" ht="15.95" customHeight="1">
      <c r="A695" s="868"/>
      <c r="B695" s="868"/>
      <c r="C695" s="866">
        <v>44700</v>
      </c>
      <c r="D695" s="868"/>
      <c r="E695" s="868" t="s">
        <v>213</v>
      </c>
      <c r="F695" s="890" t="s">
        <v>1900</v>
      </c>
      <c r="G695" s="869">
        <v>100000000</v>
      </c>
      <c r="H695" s="870" t="s">
        <v>260</v>
      </c>
      <c r="I695" s="775" t="s">
        <v>246</v>
      </c>
      <c r="J695" s="658">
        <f>VLOOKUP($I695,Prices!A:B,2,0)</f>
        <v>4</v>
      </c>
      <c r="K695" s="790">
        <f>VLOOKUP(I695,Prices!A:C,3,0)</f>
        <v>0</v>
      </c>
      <c r="L695" s="788">
        <v>18</v>
      </c>
      <c r="M695" s="788">
        <v>18</v>
      </c>
      <c r="N695" s="647">
        <f>VLOOKUP($I695,Prices!A:D,4,0)</f>
        <v>5170000</v>
      </c>
      <c r="O695" s="769">
        <f t="shared" si="48"/>
        <v>93060000</v>
      </c>
      <c r="P695" s="793">
        <f t="shared" ref="P695:P758" si="50">M695*N695</f>
        <v>93060000</v>
      </c>
      <c r="Q695" s="869"/>
      <c r="R695" s="869"/>
      <c r="S695" s="865"/>
      <c r="T695" s="870"/>
      <c r="U695" s="854" t="s">
        <v>1916</v>
      </c>
      <c r="V695" s="911" t="s">
        <v>194</v>
      </c>
      <c r="W695" s="911" t="s">
        <v>194</v>
      </c>
      <c r="X695" s="873" t="s">
        <v>194</v>
      </c>
      <c r="Y695" s="878"/>
      <c r="Z695" s="888"/>
      <c r="AA695" s="899" t="s">
        <v>1917</v>
      </c>
      <c r="AB695" s="775"/>
      <c r="AC695" s="775"/>
      <c r="AD695" s="775"/>
      <c r="AE695" s="775"/>
      <c r="AF695" s="775"/>
      <c r="AG695" s="775"/>
      <c r="AH695" s="775"/>
      <c r="AI695" s="775"/>
      <c r="AJ695" s="775"/>
      <c r="AK695" s="775"/>
      <c r="AL695" s="775"/>
      <c r="AM695" s="775"/>
      <c r="AN695" s="775"/>
      <c r="AO695" s="775"/>
      <c r="AP695" s="775"/>
    </row>
    <row r="696" spans="1:42" s="141" customFormat="1" ht="15.95" customHeight="1">
      <c r="A696" s="868"/>
      <c r="B696" s="868"/>
      <c r="C696" s="867"/>
      <c r="D696" s="868"/>
      <c r="E696" s="868"/>
      <c r="F696" s="890"/>
      <c r="G696" s="869"/>
      <c r="H696" s="870"/>
      <c r="I696" s="775" t="s">
        <v>1905</v>
      </c>
      <c r="J696" s="658">
        <f>VLOOKUP($I696,Prices!A:B,2,0)</f>
        <v>1</v>
      </c>
      <c r="K696" s="790">
        <f>VLOOKUP(I696,Prices!A:C,3,0)</f>
        <v>0</v>
      </c>
      <c r="L696" s="788">
        <v>18</v>
      </c>
      <c r="M696" s="788">
        <v>18</v>
      </c>
      <c r="N696" s="647">
        <f>VLOOKUP($I696,Prices!A:D,4,0)</f>
        <v>350000</v>
      </c>
      <c r="O696" s="769">
        <f t="shared" si="48"/>
        <v>6300000</v>
      </c>
      <c r="P696" s="793">
        <f t="shared" si="50"/>
        <v>6300000</v>
      </c>
      <c r="Q696" s="869"/>
      <c r="R696" s="869"/>
      <c r="S696" s="865"/>
      <c r="T696" s="870"/>
      <c r="U696" s="854"/>
      <c r="V696" s="911"/>
      <c r="W696" s="911"/>
      <c r="X696" s="873"/>
      <c r="Y696" s="878"/>
      <c r="Z696" s="888"/>
      <c r="AA696" s="899"/>
      <c r="AB696" s="775"/>
      <c r="AC696" s="775"/>
      <c r="AD696" s="775"/>
      <c r="AE696" s="775"/>
      <c r="AF696" s="775"/>
      <c r="AG696" s="775"/>
      <c r="AH696" s="775"/>
      <c r="AI696" s="775"/>
      <c r="AJ696" s="775"/>
      <c r="AK696" s="775"/>
      <c r="AL696" s="775"/>
      <c r="AM696" s="775"/>
      <c r="AN696" s="775"/>
      <c r="AO696" s="775"/>
      <c r="AP696" s="775"/>
    </row>
    <row r="697" spans="1:42" s="141" customFormat="1" ht="15.95" customHeight="1">
      <c r="A697" s="868"/>
      <c r="B697" s="868"/>
      <c r="C697" s="867"/>
      <c r="D697" s="868"/>
      <c r="E697" s="868"/>
      <c r="F697" s="890"/>
      <c r="G697" s="869"/>
      <c r="H697" s="870"/>
      <c r="I697" s="775" t="s">
        <v>1887</v>
      </c>
      <c r="J697" s="658">
        <f>VLOOKUP($I697,Prices!A:B,2,0)</f>
        <v>1</v>
      </c>
      <c r="K697" s="790">
        <f>VLOOKUP(I697,Prices!A:C,3,0)</f>
        <v>0</v>
      </c>
      <c r="L697" s="788">
        <v>3</v>
      </c>
      <c r="M697" s="788">
        <v>3</v>
      </c>
      <c r="N697" s="647">
        <f>VLOOKUP($I697,Prices!A:D,4,0)</f>
        <v>8888888</v>
      </c>
      <c r="O697" s="769">
        <f t="shared" si="48"/>
        <v>26666664</v>
      </c>
      <c r="P697" s="793">
        <f t="shared" si="50"/>
        <v>26666664</v>
      </c>
      <c r="Q697" s="869"/>
      <c r="R697" s="869"/>
      <c r="S697" s="865"/>
      <c r="T697" s="870"/>
      <c r="U697" s="854"/>
      <c r="V697" s="911"/>
      <c r="W697" s="911"/>
      <c r="X697" s="873"/>
      <c r="Y697" s="878"/>
      <c r="Z697" s="888"/>
      <c r="AA697" s="899"/>
      <c r="AB697" s="775"/>
      <c r="AC697" s="775"/>
      <c r="AD697" s="775"/>
      <c r="AE697" s="775"/>
      <c r="AF697" s="775"/>
      <c r="AG697" s="775"/>
      <c r="AH697" s="775"/>
      <c r="AI697" s="775"/>
      <c r="AJ697" s="775"/>
      <c r="AK697" s="775"/>
      <c r="AL697" s="775"/>
      <c r="AM697" s="775"/>
      <c r="AN697" s="775"/>
      <c r="AO697" s="775"/>
      <c r="AP697" s="775"/>
    </row>
    <row r="698" spans="1:42" s="141" customFormat="1" ht="15.95" customHeight="1">
      <c r="A698" s="868"/>
      <c r="B698" s="868"/>
      <c r="C698" s="867"/>
      <c r="D698" s="868"/>
      <c r="E698" s="868"/>
      <c r="F698" s="890"/>
      <c r="G698" s="869"/>
      <c r="H698" s="870"/>
      <c r="I698" s="775" t="s">
        <v>1909</v>
      </c>
      <c r="J698" s="658">
        <f>VLOOKUP($I698,Prices!A:B,2,0)</f>
        <v>1</v>
      </c>
      <c r="K698" s="790">
        <f>VLOOKUP(I698,Prices!A:C,3,0)</f>
        <v>0</v>
      </c>
      <c r="L698" s="788" t="s">
        <v>224</v>
      </c>
      <c r="M698" s="788" t="s">
        <v>224</v>
      </c>
      <c r="N698" s="647" t="str">
        <f>VLOOKUP($I698,Prices!A:D,4,0)</f>
        <v>.</v>
      </c>
      <c r="O698" s="769" t="s">
        <v>194</v>
      </c>
      <c r="P698" s="793" t="s">
        <v>194</v>
      </c>
      <c r="Q698" s="869"/>
      <c r="R698" s="869"/>
      <c r="S698" s="865"/>
      <c r="T698" s="870"/>
      <c r="U698" s="854"/>
      <c r="V698" s="911"/>
      <c r="W698" s="911"/>
      <c r="X698" s="873"/>
      <c r="Y698" s="878"/>
      <c r="Z698" s="888"/>
      <c r="AA698" s="899"/>
      <c r="AB698" s="775"/>
      <c r="AC698" s="775"/>
      <c r="AD698" s="775"/>
      <c r="AE698" s="775"/>
      <c r="AF698" s="775"/>
      <c r="AG698" s="775"/>
      <c r="AH698" s="775"/>
      <c r="AI698" s="775"/>
      <c r="AJ698" s="775"/>
      <c r="AK698" s="775"/>
      <c r="AL698" s="775"/>
      <c r="AM698" s="775"/>
      <c r="AN698" s="775"/>
      <c r="AO698" s="775"/>
      <c r="AP698" s="775"/>
    </row>
    <row r="699" spans="1:42" s="141" customFormat="1" ht="15.95" customHeight="1">
      <c r="A699" s="868"/>
      <c r="B699" s="868"/>
      <c r="C699" s="867"/>
      <c r="D699" s="868"/>
      <c r="E699" s="868"/>
      <c r="F699" s="890"/>
      <c r="G699" s="869"/>
      <c r="H699" s="870"/>
      <c r="I699" s="775" t="s">
        <v>1915</v>
      </c>
      <c r="J699" s="658">
        <f>VLOOKUP($I699,Prices!A:B,2,0)</f>
        <v>1</v>
      </c>
      <c r="K699" s="790">
        <f>VLOOKUP(I699,Prices!A:C,3,0)</f>
        <v>0</v>
      </c>
      <c r="L699" s="788" t="s">
        <v>224</v>
      </c>
      <c r="M699" s="788" t="s">
        <v>224</v>
      </c>
      <c r="N699" s="647" t="str">
        <f>VLOOKUP($I699,Prices!A:D,4,0)</f>
        <v>.</v>
      </c>
      <c r="O699" s="769" t="s">
        <v>194</v>
      </c>
      <c r="P699" s="793" t="s">
        <v>194</v>
      </c>
      <c r="Q699" s="869"/>
      <c r="R699" s="869"/>
      <c r="S699" s="865"/>
      <c r="T699" s="870"/>
      <c r="U699" s="854"/>
      <c r="V699" s="911"/>
      <c r="W699" s="911"/>
      <c r="X699" s="873"/>
      <c r="Y699" s="878"/>
      <c r="Z699" s="888"/>
      <c r="AA699" s="899"/>
      <c r="AB699" s="775"/>
      <c r="AC699" s="775"/>
      <c r="AD699" s="775"/>
      <c r="AE699" s="775"/>
      <c r="AF699" s="775"/>
      <c r="AG699" s="775"/>
      <c r="AH699" s="775"/>
      <c r="AI699" s="775"/>
      <c r="AJ699" s="775"/>
      <c r="AK699" s="775"/>
      <c r="AL699" s="775"/>
      <c r="AM699" s="775"/>
      <c r="AN699" s="775"/>
      <c r="AO699" s="775"/>
      <c r="AP699" s="775"/>
    </row>
    <row r="700" spans="1:42" s="141" customFormat="1" ht="22.5" customHeight="1">
      <c r="A700" s="848" t="s">
        <v>1918</v>
      </c>
      <c r="B700" s="848" t="s">
        <v>1837</v>
      </c>
      <c r="C700" s="849">
        <v>44676</v>
      </c>
      <c r="D700" s="848" t="s">
        <v>212</v>
      </c>
      <c r="E700" s="848" t="s">
        <v>276</v>
      </c>
      <c r="F700" s="863" t="s">
        <v>1919</v>
      </c>
      <c r="G700" s="851">
        <v>650000000</v>
      </c>
      <c r="H700" s="852" t="s">
        <v>260</v>
      </c>
      <c r="I700" s="547" t="s">
        <v>1920</v>
      </c>
      <c r="J700" s="658">
        <f>VLOOKUP($I700,Prices!A:B,2,0)</f>
        <v>4.5</v>
      </c>
      <c r="K700" s="790">
        <f>VLOOKUP(I700,Prices!A:C,3,0)</f>
        <v>0</v>
      </c>
      <c r="L700" s="640" t="s">
        <v>224</v>
      </c>
      <c r="M700" s="640" t="s">
        <v>194</v>
      </c>
      <c r="N700" s="647" t="str">
        <f>VLOOKUP($I700,Prices!A:D,4,0)</f>
        <v>.</v>
      </c>
      <c r="O700" s="769" t="s">
        <v>194</v>
      </c>
      <c r="P700" s="793" t="s">
        <v>194</v>
      </c>
      <c r="Q700" s="851">
        <f>G700</f>
        <v>650000000</v>
      </c>
      <c r="R700" s="864">
        <f>Q700/VLOOKUP(H651,'Currency Conversion'!$B$2:$C$16,2,0)</f>
        <v>615530303.030303</v>
      </c>
      <c r="S700" s="853" t="s">
        <v>194</v>
      </c>
      <c r="T700" s="852" t="s">
        <v>195</v>
      </c>
      <c r="U700" s="854" t="s">
        <v>1848</v>
      </c>
      <c r="V700" s="854" t="s">
        <v>1921</v>
      </c>
      <c r="W700" s="798" t="s">
        <v>194</v>
      </c>
      <c r="X700" s="820" t="s">
        <v>194</v>
      </c>
      <c r="Y700" s="852">
        <v>0</v>
      </c>
      <c r="Z700" s="852">
        <v>1</v>
      </c>
      <c r="AA700" s="690" t="s">
        <v>194</v>
      </c>
      <c r="AB700" s="560" t="s">
        <v>194</v>
      </c>
      <c r="AC700" s="820" t="s">
        <v>21</v>
      </c>
      <c r="AD700" s="820" t="s">
        <v>21</v>
      </c>
      <c r="AE700" s="820" t="s">
        <v>21</v>
      </c>
      <c r="AF700" s="820" t="s">
        <v>21</v>
      </c>
      <c r="AG700" s="820" t="s">
        <v>21</v>
      </c>
      <c r="AH700" s="820" t="s">
        <v>21</v>
      </c>
      <c r="AI700" s="820" t="s">
        <v>21</v>
      </c>
      <c r="AJ700" s="820" t="s">
        <v>21</v>
      </c>
      <c r="AK700" s="820" t="s">
        <v>21</v>
      </c>
      <c r="AL700" s="820" t="s">
        <v>21</v>
      </c>
      <c r="AM700" s="820" t="s">
        <v>21</v>
      </c>
      <c r="AN700" s="820" t="s">
        <v>21</v>
      </c>
      <c r="AO700" s="820" t="s">
        <v>21</v>
      </c>
      <c r="AP700" s="820" t="s">
        <v>21</v>
      </c>
    </row>
    <row r="701" spans="1:42" s="141" customFormat="1" ht="25.5" customHeight="1">
      <c r="A701" s="848"/>
      <c r="B701" s="848"/>
      <c r="C701" s="848"/>
      <c r="D701" s="848"/>
      <c r="E701" s="848"/>
      <c r="F701" s="863"/>
      <c r="G701" s="851"/>
      <c r="H701" s="852"/>
      <c r="I701" s="547" t="s">
        <v>1922</v>
      </c>
      <c r="J701" s="658">
        <f>VLOOKUP($I701,Prices!A:B,2,0)</f>
        <v>4.5</v>
      </c>
      <c r="K701" s="790">
        <f>VLOOKUP(I701,Prices!A:C,3,0)</f>
        <v>1</v>
      </c>
      <c r="L701" s="640" t="s">
        <v>224</v>
      </c>
      <c r="M701" s="640" t="s">
        <v>194</v>
      </c>
      <c r="N701" s="647" t="str">
        <f>VLOOKUP($I701,Prices!A:D,4,0)</f>
        <v>.</v>
      </c>
      <c r="O701" s="769" t="s">
        <v>194</v>
      </c>
      <c r="P701" s="793" t="s">
        <v>194</v>
      </c>
      <c r="Q701" s="851"/>
      <c r="R701" s="864"/>
      <c r="S701" s="853"/>
      <c r="T701" s="852"/>
      <c r="U701" s="855"/>
      <c r="V701" s="855"/>
      <c r="W701" s="798" t="s">
        <v>21</v>
      </c>
      <c r="X701" s="820" t="s">
        <v>21</v>
      </c>
      <c r="Y701" s="852"/>
      <c r="Z701" s="852"/>
      <c r="AA701" s="690" t="s">
        <v>194</v>
      </c>
      <c r="AB701" s="560" t="s">
        <v>194</v>
      </c>
      <c r="AC701" s="820" t="s">
        <v>21</v>
      </c>
      <c r="AD701" s="820" t="s">
        <v>21</v>
      </c>
      <c r="AE701" s="820" t="s">
        <v>21</v>
      </c>
      <c r="AF701" s="820" t="s">
        <v>21</v>
      </c>
      <c r="AG701" s="820" t="s">
        <v>21</v>
      </c>
      <c r="AH701" s="820" t="s">
        <v>21</v>
      </c>
      <c r="AI701" s="820" t="s">
        <v>21</v>
      </c>
      <c r="AJ701" s="820" t="s">
        <v>21</v>
      </c>
      <c r="AK701" s="820" t="s">
        <v>21</v>
      </c>
      <c r="AL701" s="820" t="s">
        <v>21</v>
      </c>
      <c r="AM701" s="820" t="s">
        <v>21</v>
      </c>
      <c r="AN701" s="820" t="s">
        <v>21</v>
      </c>
      <c r="AO701" s="820" t="s">
        <v>21</v>
      </c>
      <c r="AP701" s="820" t="s">
        <v>21</v>
      </c>
    </row>
    <row r="702" spans="1:42" s="141" customFormat="1" ht="22.5" customHeight="1">
      <c r="A702" s="848"/>
      <c r="B702" s="848"/>
      <c r="C702" s="848"/>
      <c r="D702" s="848"/>
      <c r="E702" s="848"/>
      <c r="F702" s="863"/>
      <c r="G702" s="851"/>
      <c r="H702" s="852"/>
      <c r="I702" s="547" t="s">
        <v>1923</v>
      </c>
      <c r="J702" s="658">
        <f>VLOOKUP($I702,Prices!A:B,2,0)</f>
        <v>3</v>
      </c>
      <c r="K702" s="790">
        <f>VLOOKUP(I702,Prices!A:C,3,0)</f>
        <v>0</v>
      </c>
      <c r="L702" s="640" t="s">
        <v>224</v>
      </c>
      <c r="M702" s="640" t="s">
        <v>194</v>
      </c>
      <c r="N702" s="647" t="str">
        <f>VLOOKUP($I702,Prices!A:D,4,0)</f>
        <v>.</v>
      </c>
      <c r="O702" s="769" t="s">
        <v>194</v>
      </c>
      <c r="P702" s="793" t="s">
        <v>194</v>
      </c>
      <c r="Q702" s="851"/>
      <c r="R702" s="864"/>
      <c r="S702" s="853"/>
      <c r="T702" s="852"/>
      <c r="U702" s="855"/>
      <c r="V702" s="855"/>
      <c r="W702" s="798" t="s">
        <v>21</v>
      </c>
      <c r="X702" s="820" t="s">
        <v>21</v>
      </c>
      <c r="Y702" s="852"/>
      <c r="Z702" s="852"/>
      <c r="AA702" s="690" t="s">
        <v>194</v>
      </c>
      <c r="AB702" s="560" t="s">
        <v>194</v>
      </c>
      <c r="AC702" s="820" t="s">
        <v>21</v>
      </c>
      <c r="AD702" s="820" t="s">
        <v>21</v>
      </c>
      <c r="AE702" s="820" t="s">
        <v>21</v>
      </c>
      <c r="AF702" s="820" t="s">
        <v>21</v>
      </c>
      <c r="AG702" s="820" t="s">
        <v>21</v>
      </c>
      <c r="AH702" s="820" t="s">
        <v>21</v>
      </c>
      <c r="AI702" s="820" t="s">
        <v>21</v>
      </c>
      <c r="AJ702" s="820" t="s">
        <v>21</v>
      </c>
      <c r="AK702" s="820" t="s">
        <v>21</v>
      </c>
      <c r="AL702" s="820" t="s">
        <v>21</v>
      </c>
      <c r="AM702" s="820" t="s">
        <v>21</v>
      </c>
      <c r="AN702" s="820" t="s">
        <v>21</v>
      </c>
      <c r="AO702" s="820" t="s">
        <v>21</v>
      </c>
      <c r="AP702" s="820" t="s">
        <v>21</v>
      </c>
    </row>
    <row r="703" spans="1:42" s="141" customFormat="1" ht="27" customHeight="1">
      <c r="A703" s="848"/>
      <c r="B703" s="848"/>
      <c r="C703" s="848"/>
      <c r="D703" s="848"/>
      <c r="E703" s="848"/>
      <c r="F703" s="863"/>
      <c r="G703" s="851"/>
      <c r="H703" s="852"/>
      <c r="I703" s="547" t="s">
        <v>1924</v>
      </c>
      <c r="J703" s="658">
        <f>VLOOKUP($I703,Prices!A:B,2,0)</f>
        <v>4.5</v>
      </c>
      <c r="K703" s="790">
        <f>VLOOKUP(I703,Prices!A:C,3,0)</f>
        <v>0</v>
      </c>
      <c r="L703" s="640" t="s">
        <v>224</v>
      </c>
      <c r="M703" s="640" t="s">
        <v>194</v>
      </c>
      <c r="N703" s="647" t="str">
        <f>VLOOKUP($I703,Prices!A:D,4,0)</f>
        <v>.</v>
      </c>
      <c r="O703" s="769" t="s">
        <v>194</v>
      </c>
      <c r="P703" s="793" t="s">
        <v>194</v>
      </c>
      <c r="Q703" s="851"/>
      <c r="R703" s="864"/>
      <c r="S703" s="853"/>
      <c r="T703" s="852"/>
      <c r="U703" s="855"/>
      <c r="V703" s="855"/>
      <c r="W703" s="798" t="s">
        <v>21</v>
      </c>
      <c r="X703" s="820" t="s">
        <v>21</v>
      </c>
      <c r="Y703" s="852"/>
      <c r="Z703" s="852"/>
      <c r="AA703" s="690" t="s">
        <v>194</v>
      </c>
      <c r="AB703" s="560" t="s">
        <v>194</v>
      </c>
      <c r="AC703" s="820" t="s">
        <v>21</v>
      </c>
      <c r="AD703" s="820" t="s">
        <v>21</v>
      </c>
      <c r="AE703" s="820" t="s">
        <v>21</v>
      </c>
      <c r="AF703" s="820" t="s">
        <v>21</v>
      </c>
      <c r="AG703" s="820" t="s">
        <v>21</v>
      </c>
      <c r="AH703" s="820" t="s">
        <v>21</v>
      </c>
      <c r="AI703" s="820" t="s">
        <v>21</v>
      </c>
      <c r="AJ703" s="820" t="s">
        <v>21</v>
      </c>
      <c r="AK703" s="820" t="s">
        <v>21</v>
      </c>
      <c r="AL703" s="820" t="s">
        <v>21</v>
      </c>
      <c r="AM703" s="820" t="s">
        <v>21</v>
      </c>
      <c r="AN703" s="820" t="s">
        <v>21</v>
      </c>
      <c r="AO703" s="820" t="s">
        <v>21</v>
      </c>
      <c r="AP703" s="820" t="s">
        <v>21</v>
      </c>
    </row>
    <row r="704" spans="1:42" s="141" customFormat="1" ht="25.5" customHeight="1">
      <c r="A704" s="848"/>
      <c r="B704" s="848"/>
      <c r="C704" s="848"/>
      <c r="D704" s="848"/>
      <c r="E704" s="848"/>
      <c r="F704" s="863"/>
      <c r="G704" s="851"/>
      <c r="H704" s="852"/>
      <c r="I704" s="547" t="s">
        <v>1925</v>
      </c>
      <c r="J704" s="658">
        <f>VLOOKUP($I704,Prices!A:B,2,0)</f>
        <v>4.5</v>
      </c>
      <c r="K704" s="790">
        <f>VLOOKUP(I704,Prices!A:C,3,0)</f>
        <v>1</v>
      </c>
      <c r="L704" s="640" t="s">
        <v>224</v>
      </c>
      <c r="M704" s="640" t="s">
        <v>194</v>
      </c>
      <c r="N704" s="647" t="str">
        <f>VLOOKUP($I704,Prices!A:D,4,0)</f>
        <v>.</v>
      </c>
      <c r="O704" s="769" t="s">
        <v>194</v>
      </c>
      <c r="P704" s="793" t="s">
        <v>194</v>
      </c>
      <c r="Q704" s="851"/>
      <c r="R704" s="864"/>
      <c r="S704" s="853"/>
      <c r="T704" s="852"/>
      <c r="U704" s="855"/>
      <c r="V704" s="855"/>
      <c r="W704" s="798" t="s">
        <v>21</v>
      </c>
      <c r="X704" s="820" t="s">
        <v>21</v>
      </c>
      <c r="Y704" s="852"/>
      <c r="Z704" s="852"/>
      <c r="AA704" s="690" t="s">
        <v>194</v>
      </c>
      <c r="AB704" s="560" t="s">
        <v>194</v>
      </c>
      <c r="AC704" s="820" t="s">
        <v>21</v>
      </c>
      <c r="AD704" s="820" t="s">
        <v>21</v>
      </c>
      <c r="AE704" s="820" t="s">
        <v>21</v>
      </c>
      <c r="AF704" s="820" t="s">
        <v>21</v>
      </c>
      <c r="AG704" s="820" t="s">
        <v>21</v>
      </c>
      <c r="AH704" s="820" t="s">
        <v>21</v>
      </c>
      <c r="AI704" s="820" t="s">
        <v>21</v>
      </c>
      <c r="AJ704" s="820" t="s">
        <v>21</v>
      </c>
      <c r="AK704" s="820" t="s">
        <v>21</v>
      </c>
      <c r="AL704" s="820" t="s">
        <v>21</v>
      </c>
      <c r="AM704" s="820" t="s">
        <v>21</v>
      </c>
      <c r="AN704" s="820" t="s">
        <v>21</v>
      </c>
      <c r="AO704" s="820" t="s">
        <v>21</v>
      </c>
      <c r="AP704" s="820" t="s">
        <v>21</v>
      </c>
    </row>
    <row r="705" spans="1:42" s="141" customFormat="1" ht="30" customHeight="1">
      <c r="A705" s="848"/>
      <c r="B705" s="848"/>
      <c r="C705" s="848"/>
      <c r="D705" s="848"/>
      <c r="E705" s="848"/>
      <c r="F705" s="863"/>
      <c r="G705" s="851"/>
      <c r="H705" s="852"/>
      <c r="I705" s="547" t="s">
        <v>1926</v>
      </c>
      <c r="J705" s="658">
        <f>VLOOKUP($I705,Prices!A:B,2,0)</f>
        <v>4.5</v>
      </c>
      <c r="K705" s="790">
        <f>VLOOKUP(I705,Prices!A:C,3,0)</f>
        <v>1</v>
      </c>
      <c r="L705" s="640" t="s">
        <v>224</v>
      </c>
      <c r="M705" s="640" t="s">
        <v>194</v>
      </c>
      <c r="N705" s="647" t="str">
        <f>VLOOKUP($I705,Prices!A:D,4,0)</f>
        <v>.</v>
      </c>
      <c r="O705" s="769" t="s">
        <v>194</v>
      </c>
      <c r="P705" s="793" t="s">
        <v>194</v>
      </c>
      <c r="Q705" s="851"/>
      <c r="R705" s="864"/>
      <c r="S705" s="853"/>
      <c r="T705" s="852"/>
      <c r="U705" s="855"/>
      <c r="V705" s="855"/>
      <c r="W705" s="798" t="s">
        <v>21</v>
      </c>
      <c r="X705" s="820" t="s">
        <v>21</v>
      </c>
      <c r="Y705" s="852"/>
      <c r="Z705" s="852"/>
      <c r="AA705" s="690" t="s">
        <v>194</v>
      </c>
      <c r="AB705" s="560" t="s">
        <v>194</v>
      </c>
      <c r="AC705" s="820" t="s">
        <v>21</v>
      </c>
      <c r="AD705" s="820" t="s">
        <v>21</v>
      </c>
      <c r="AE705" s="820" t="s">
        <v>21</v>
      </c>
      <c r="AF705" s="820" t="s">
        <v>21</v>
      </c>
      <c r="AG705" s="820" t="s">
        <v>21</v>
      </c>
      <c r="AH705" s="820" t="s">
        <v>21</v>
      </c>
      <c r="AI705" s="820" t="s">
        <v>21</v>
      </c>
      <c r="AJ705" s="820" t="s">
        <v>21</v>
      </c>
      <c r="AK705" s="820" t="s">
        <v>21</v>
      </c>
      <c r="AL705" s="820" t="s">
        <v>21</v>
      </c>
      <c r="AM705" s="820" t="s">
        <v>21</v>
      </c>
      <c r="AN705" s="820" t="s">
        <v>21</v>
      </c>
      <c r="AO705" s="820" t="s">
        <v>21</v>
      </c>
      <c r="AP705" s="820" t="s">
        <v>21</v>
      </c>
    </row>
    <row r="706" spans="1:42" s="141" customFormat="1" ht="30" customHeight="1">
      <c r="A706" s="848"/>
      <c r="B706" s="848"/>
      <c r="C706" s="848"/>
      <c r="D706" s="848"/>
      <c r="E706" s="848"/>
      <c r="F706" s="863"/>
      <c r="G706" s="851"/>
      <c r="H706" s="852"/>
      <c r="I706" s="547" t="s">
        <v>1927</v>
      </c>
      <c r="J706" s="658">
        <f>VLOOKUP($I706,Prices!A:B,2,0)</f>
        <v>4.5</v>
      </c>
      <c r="K706" s="790">
        <f>VLOOKUP(I706,Prices!A:C,3,0)</f>
        <v>0</v>
      </c>
      <c r="L706" s="640" t="s">
        <v>224</v>
      </c>
      <c r="M706" s="640" t="s">
        <v>194</v>
      </c>
      <c r="N706" s="647" t="str">
        <f>VLOOKUP($I706,Prices!A:D,4,0)</f>
        <v>.</v>
      </c>
      <c r="O706" s="769" t="s">
        <v>194</v>
      </c>
      <c r="P706" s="793" t="s">
        <v>194</v>
      </c>
      <c r="Q706" s="851"/>
      <c r="R706" s="864"/>
      <c r="S706" s="853"/>
      <c r="T706" s="852"/>
      <c r="U706" s="855"/>
      <c r="V706" s="855"/>
      <c r="W706" s="798" t="s">
        <v>21</v>
      </c>
      <c r="X706" s="820" t="s">
        <v>21</v>
      </c>
      <c r="Y706" s="852"/>
      <c r="Z706" s="852"/>
      <c r="AA706" s="690" t="s">
        <v>194</v>
      </c>
      <c r="AB706" s="560" t="s">
        <v>194</v>
      </c>
      <c r="AC706" s="820" t="s">
        <v>21</v>
      </c>
      <c r="AD706" s="820" t="s">
        <v>21</v>
      </c>
      <c r="AE706" s="820" t="s">
        <v>21</v>
      </c>
      <c r="AF706" s="820" t="s">
        <v>21</v>
      </c>
      <c r="AG706" s="820" t="s">
        <v>21</v>
      </c>
      <c r="AH706" s="820" t="s">
        <v>21</v>
      </c>
      <c r="AI706" s="820" t="s">
        <v>21</v>
      </c>
      <c r="AJ706" s="820" t="s">
        <v>21</v>
      </c>
      <c r="AK706" s="820" t="s">
        <v>21</v>
      </c>
      <c r="AL706" s="820" t="s">
        <v>21</v>
      </c>
      <c r="AM706" s="820" t="s">
        <v>21</v>
      </c>
      <c r="AN706" s="820" t="s">
        <v>21</v>
      </c>
      <c r="AO706" s="820" t="s">
        <v>21</v>
      </c>
      <c r="AP706" s="820" t="s">
        <v>21</v>
      </c>
    </row>
    <row r="707" spans="1:42" s="141" customFormat="1" ht="24" customHeight="1">
      <c r="A707" s="848"/>
      <c r="B707" s="848"/>
      <c r="C707" s="848"/>
      <c r="D707" s="848"/>
      <c r="E707" s="848"/>
      <c r="F707" s="863"/>
      <c r="G707" s="851"/>
      <c r="H707" s="852"/>
      <c r="I707" s="547" t="s">
        <v>1928</v>
      </c>
      <c r="J707" s="658">
        <f>VLOOKUP($I707,Prices!A:B,2,0)</f>
        <v>3</v>
      </c>
      <c r="K707" s="790">
        <f>VLOOKUP(I707,Prices!A:C,3,0)</f>
        <v>0</v>
      </c>
      <c r="L707" s="640" t="s">
        <v>224</v>
      </c>
      <c r="M707" s="640" t="s">
        <v>194</v>
      </c>
      <c r="N707" s="647" t="str">
        <f>VLOOKUP($I707,Prices!A:D,4,0)</f>
        <v>.</v>
      </c>
      <c r="O707" s="769" t="s">
        <v>194</v>
      </c>
      <c r="P707" s="793" t="s">
        <v>194</v>
      </c>
      <c r="Q707" s="851"/>
      <c r="R707" s="864"/>
      <c r="S707" s="853"/>
      <c r="T707" s="852"/>
      <c r="U707" s="855"/>
      <c r="V707" s="855"/>
      <c r="W707" s="798" t="s">
        <v>21</v>
      </c>
      <c r="X707" s="820" t="s">
        <v>21</v>
      </c>
      <c r="Y707" s="852"/>
      <c r="Z707" s="852"/>
      <c r="AA707" s="690" t="s">
        <v>194</v>
      </c>
      <c r="AB707" s="560" t="s">
        <v>194</v>
      </c>
      <c r="AC707" s="820" t="s">
        <v>21</v>
      </c>
      <c r="AD707" s="820" t="s">
        <v>21</v>
      </c>
      <c r="AE707" s="820" t="s">
        <v>21</v>
      </c>
      <c r="AF707" s="820" t="s">
        <v>21</v>
      </c>
      <c r="AG707" s="820" t="s">
        <v>21</v>
      </c>
      <c r="AH707" s="820" t="s">
        <v>21</v>
      </c>
      <c r="AI707" s="820" t="s">
        <v>21</v>
      </c>
      <c r="AJ707" s="820" t="s">
        <v>21</v>
      </c>
      <c r="AK707" s="820" t="s">
        <v>21</v>
      </c>
      <c r="AL707" s="820" t="s">
        <v>21</v>
      </c>
      <c r="AM707" s="820" t="s">
        <v>21</v>
      </c>
      <c r="AN707" s="820" t="s">
        <v>21</v>
      </c>
      <c r="AO707" s="820" t="s">
        <v>21</v>
      </c>
      <c r="AP707" s="820" t="s">
        <v>21</v>
      </c>
    </row>
    <row r="708" spans="1:42" s="141" customFormat="1" ht="19.5" customHeight="1">
      <c r="A708" s="848"/>
      <c r="B708" s="848"/>
      <c r="C708" s="848"/>
      <c r="D708" s="848"/>
      <c r="E708" s="848"/>
      <c r="F708" s="863"/>
      <c r="G708" s="851"/>
      <c r="H708" s="852"/>
      <c r="I708" s="547" t="s">
        <v>1929</v>
      </c>
      <c r="J708" s="658">
        <f>VLOOKUP($I708,Prices!A:B,2,0)</f>
        <v>2.5</v>
      </c>
      <c r="K708" s="790">
        <f>VLOOKUP(I708,Prices!A:C,3,0)</f>
        <v>0</v>
      </c>
      <c r="L708" s="640" t="s">
        <v>224</v>
      </c>
      <c r="M708" s="640" t="s">
        <v>194</v>
      </c>
      <c r="N708" s="647" t="str">
        <f>VLOOKUP($I708,Prices!A:D,4,0)</f>
        <v>.</v>
      </c>
      <c r="O708" s="769" t="s">
        <v>194</v>
      </c>
      <c r="P708" s="793" t="s">
        <v>194</v>
      </c>
      <c r="Q708" s="851"/>
      <c r="R708" s="864"/>
      <c r="S708" s="853"/>
      <c r="T708" s="852"/>
      <c r="U708" s="855"/>
      <c r="V708" s="855"/>
      <c r="W708" s="798" t="s">
        <v>21</v>
      </c>
      <c r="X708" s="820" t="s">
        <v>21</v>
      </c>
      <c r="Y708" s="852"/>
      <c r="Z708" s="852"/>
      <c r="AA708" s="690" t="s">
        <v>194</v>
      </c>
      <c r="AB708" s="560" t="s">
        <v>194</v>
      </c>
      <c r="AC708" s="820" t="s">
        <v>21</v>
      </c>
      <c r="AD708" s="820" t="s">
        <v>21</v>
      </c>
      <c r="AE708" s="820" t="s">
        <v>21</v>
      </c>
      <c r="AF708" s="820" t="s">
        <v>21</v>
      </c>
      <c r="AG708" s="820" t="s">
        <v>21</v>
      </c>
      <c r="AH708" s="820" t="s">
        <v>21</v>
      </c>
      <c r="AI708" s="820" t="s">
        <v>21</v>
      </c>
      <c r="AJ708" s="820" t="s">
        <v>21</v>
      </c>
      <c r="AK708" s="820" t="s">
        <v>21</v>
      </c>
      <c r="AL708" s="820" t="s">
        <v>21</v>
      </c>
      <c r="AM708" s="820" t="s">
        <v>21</v>
      </c>
      <c r="AN708" s="820" t="s">
        <v>21</v>
      </c>
      <c r="AO708" s="820" t="s">
        <v>21</v>
      </c>
      <c r="AP708" s="820" t="s">
        <v>21</v>
      </c>
    </row>
    <row r="709" spans="1:42" s="141" customFormat="1" ht="24" customHeight="1">
      <c r="A709" s="848"/>
      <c r="B709" s="848"/>
      <c r="C709" s="848"/>
      <c r="D709" s="848"/>
      <c r="E709" s="848"/>
      <c r="F709" s="863"/>
      <c r="G709" s="851"/>
      <c r="H709" s="852"/>
      <c r="I709" s="547" t="s">
        <v>1930</v>
      </c>
      <c r="J709" s="658">
        <f>VLOOKUP($I709,Prices!A:B,2,0)</f>
        <v>4.5</v>
      </c>
      <c r="K709" s="790">
        <f>VLOOKUP(I709,Prices!A:C,3,0)</f>
        <v>1</v>
      </c>
      <c r="L709" s="640" t="s">
        <v>224</v>
      </c>
      <c r="M709" s="640" t="s">
        <v>194</v>
      </c>
      <c r="N709" s="647" t="str">
        <f>VLOOKUP($I709,Prices!A:D,4,0)</f>
        <v>.</v>
      </c>
      <c r="O709" s="769" t="s">
        <v>194</v>
      </c>
      <c r="P709" s="793" t="s">
        <v>194</v>
      </c>
      <c r="Q709" s="851"/>
      <c r="R709" s="864"/>
      <c r="S709" s="853"/>
      <c r="T709" s="852"/>
      <c r="U709" s="855"/>
      <c r="V709" s="855"/>
      <c r="W709" s="798" t="s">
        <v>21</v>
      </c>
      <c r="X709" s="820" t="s">
        <v>21</v>
      </c>
      <c r="Y709" s="852"/>
      <c r="Z709" s="852"/>
      <c r="AA709" s="690" t="s">
        <v>194</v>
      </c>
      <c r="AB709" s="560" t="s">
        <v>194</v>
      </c>
      <c r="AC709" s="820" t="s">
        <v>21</v>
      </c>
      <c r="AD709" s="820" t="s">
        <v>21</v>
      </c>
      <c r="AE709" s="820" t="s">
        <v>21</v>
      </c>
      <c r="AF709" s="820" t="s">
        <v>21</v>
      </c>
      <c r="AG709" s="820" t="s">
        <v>21</v>
      </c>
      <c r="AH709" s="820" t="s">
        <v>21</v>
      </c>
      <c r="AI709" s="820" t="s">
        <v>21</v>
      </c>
      <c r="AJ709" s="820" t="s">
        <v>21</v>
      </c>
      <c r="AK709" s="820" t="s">
        <v>21</v>
      </c>
      <c r="AL709" s="820" t="s">
        <v>21</v>
      </c>
      <c r="AM709" s="820" t="s">
        <v>21</v>
      </c>
      <c r="AN709" s="820" t="s">
        <v>21</v>
      </c>
      <c r="AO709" s="820" t="s">
        <v>21</v>
      </c>
      <c r="AP709" s="820" t="s">
        <v>21</v>
      </c>
    </row>
    <row r="710" spans="1:42" s="141" customFormat="1" ht="34.5" customHeight="1">
      <c r="A710" s="848"/>
      <c r="B710" s="848"/>
      <c r="C710" s="848"/>
      <c r="D710" s="848"/>
      <c r="E710" s="848"/>
      <c r="F710" s="863"/>
      <c r="G710" s="851"/>
      <c r="H710" s="852"/>
      <c r="I710" s="547" t="s">
        <v>1931</v>
      </c>
      <c r="J710" s="658">
        <f>VLOOKUP($I710,Prices!A:B,2,0)</f>
        <v>4.5</v>
      </c>
      <c r="K710" s="790">
        <f>VLOOKUP(I710,Prices!A:C,3,0)</f>
        <v>0</v>
      </c>
      <c r="L710" s="640" t="s">
        <v>224</v>
      </c>
      <c r="M710" s="640" t="s">
        <v>194</v>
      </c>
      <c r="N710" s="647" t="str">
        <f>VLOOKUP($I710,Prices!A:D,4,0)</f>
        <v>.</v>
      </c>
      <c r="O710" s="769" t="s">
        <v>194</v>
      </c>
      <c r="P710" s="793" t="s">
        <v>194</v>
      </c>
      <c r="Q710" s="851"/>
      <c r="R710" s="864"/>
      <c r="S710" s="853"/>
      <c r="T710" s="852"/>
      <c r="U710" s="855"/>
      <c r="V710" s="855"/>
      <c r="W710" s="798" t="s">
        <v>21</v>
      </c>
      <c r="X710" s="820" t="s">
        <v>21</v>
      </c>
      <c r="Y710" s="852"/>
      <c r="Z710" s="852"/>
      <c r="AA710" s="690" t="s">
        <v>194</v>
      </c>
      <c r="AB710" s="560" t="s">
        <v>194</v>
      </c>
      <c r="AC710" s="820" t="s">
        <v>21</v>
      </c>
      <c r="AD710" s="820" t="s">
        <v>21</v>
      </c>
      <c r="AE710" s="820" t="s">
        <v>21</v>
      </c>
      <c r="AF710" s="820" t="s">
        <v>21</v>
      </c>
      <c r="AG710" s="820" t="s">
        <v>21</v>
      </c>
      <c r="AH710" s="820" t="s">
        <v>21</v>
      </c>
      <c r="AI710" s="820" t="s">
        <v>21</v>
      </c>
      <c r="AJ710" s="820" t="s">
        <v>21</v>
      </c>
      <c r="AK710" s="820" t="s">
        <v>21</v>
      </c>
      <c r="AL710" s="820" t="s">
        <v>21</v>
      </c>
      <c r="AM710" s="820" t="s">
        <v>21</v>
      </c>
      <c r="AN710" s="820" t="s">
        <v>21</v>
      </c>
      <c r="AO710" s="820" t="s">
        <v>21</v>
      </c>
      <c r="AP710" s="820" t="s">
        <v>21</v>
      </c>
    </row>
    <row r="711" spans="1:42" s="141" customFormat="1" ht="42" customHeight="1">
      <c r="A711" s="775" t="s">
        <v>1932</v>
      </c>
      <c r="B711" s="775" t="s">
        <v>1837</v>
      </c>
      <c r="C711" s="780">
        <v>44646</v>
      </c>
      <c r="D711" s="775" t="s">
        <v>212</v>
      </c>
      <c r="E711" s="775" t="s">
        <v>221</v>
      </c>
      <c r="F711" s="773" t="s">
        <v>1933</v>
      </c>
      <c r="G711" s="772">
        <v>100000000</v>
      </c>
      <c r="H711" s="757" t="s">
        <v>260</v>
      </c>
      <c r="I711" s="775" t="s">
        <v>194</v>
      </c>
      <c r="J711" s="658" t="str">
        <f>VLOOKUP($I711,Prices!A:B,2,0)</f>
        <v>.</v>
      </c>
      <c r="K711" s="790" t="s">
        <v>194</v>
      </c>
      <c r="L711" s="788" t="s">
        <v>194</v>
      </c>
      <c r="M711" s="788" t="s">
        <v>194</v>
      </c>
      <c r="N711" s="647" t="str">
        <f>VLOOKUP($I711,Prices!A:D,4,0)</f>
        <v>.</v>
      </c>
      <c r="O711" s="769" t="s">
        <v>194</v>
      </c>
      <c r="P711" s="793" t="s">
        <v>194</v>
      </c>
      <c r="Q711" s="772">
        <f>G711</f>
        <v>100000000</v>
      </c>
      <c r="R711" s="772">
        <f>Q711/VLOOKUP(H711,'Currency Conversion'!$B$2:$C$16,2,0)</f>
        <v>94696969.696969688</v>
      </c>
      <c r="S711" s="749"/>
      <c r="T711" s="757" t="s">
        <v>195</v>
      </c>
      <c r="U711" s="756" t="s">
        <v>1934</v>
      </c>
      <c r="V711" s="756" t="s">
        <v>1935</v>
      </c>
      <c r="W711" s="783" t="s">
        <v>194</v>
      </c>
      <c r="X711" s="766" t="s">
        <v>194</v>
      </c>
      <c r="Y711" s="759">
        <v>0</v>
      </c>
      <c r="Z711" s="761">
        <v>0</v>
      </c>
      <c r="AA711" s="799" t="s">
        <v>194</v>
      </c>
      <c r="AB711" s="775"/>
      <c r="AC711" s="775"/>
      <c r="AD711" s="775"/>
      <c r="AE711" s="775"/>
      <c r="AF711" s="775"/>
      <c r="AG711" s="775"/>
      <c r="AH711" s="775"/>
      <c r="AI711" s="775"/>
      <c r="AJ711" s="775"/>
      <c r="AK711" s="775"/>
      <c r="AL711" s="775"/>
      <c r="AM711" s="775"/>
      <c r="AN711" s="775"/>
      <c r="AO711" s="775"/>
      <c r="AP711" s="775"/>
    </row>
    <row r="712" spans="1:42" s="141" customFormat="1" ht="27" customHeight="1">
      <c r="A712" s="848" t="s">
        <v>1936</v>
      </c>
      <c r="B712" s="848" t="s">
        <v>1837</v>
      </c>
      <c r="C712" s="849">
        <v>44713</v>
      </c>
      <c r="D712" s="848" t="s">
        <v>212</v>
      </c>
      <c r="E712" s="848" t="s">
        <v>213</v>
      </c>
      <c r="F712" s="850" t="s">
        <v>1937</v>
      </c>
      <c r="G712" s="851">
        <v>700000000</v>
      </c>
      <c r="H712" s="852" t="s">
        <v>260</v>
      </c>
      <c r="I712" s="547" t="s">
        <v>1938</v>
      </c>
      <c r="J712" s="658">
        <f>VLOOKUP($I712,Prices!A:B,2,0)</f>
        <v>4</v>
      </c>
      <c r="K712" s="790">
        <f>VLOOKUP(I712,Prices!A:C,3,0)</f>
        <v>0</v>
      </c>
      <c r="L712" s="644">
        <v>4</v>
      </c>
      <c r="M712" s="644">
        <v>4</v>
      </c>
      <c r="N712" s="647">
        <f>VLOOKUP($I712,Prices!A:D,4,0)</f>
        <v>5600000</v>
      </c>
      <c r="O712" s="769">
        <f t="shared" si="48"/>
        <v>22400000</v>
      </c>
      <c r="P712" s="793">
        <f t="shared" si="50"/>
        <v>22400000</v>
      </c>
      <c r="Q712" s="851">
        <v>11000000000</v>
      </c>
      <c r="R712" s="851">
        <f>Q712/VLOOKUP(H712,'Currency Conversion'!$B$2:$C$16,2,0)</f>
        <v>10416666666.666666</v>
      </c>
      <c r="S712" s="853">
        <f>SUM(P712:P736)/VLOOKUP(H712,'Currency Conversion'!$B$2:$C$16,2,0)</f>
        <v>70643939.393939391</v>
      </c>
      <c r="T712" s="852" t="s">
        <v>195</v>
      </c>
      <c r="U712" s="854" t="s">
        <v>1862</v>
      </c>
      <c r="V712" s="854" t="s">
        <v>1939</v>
      </c>
      <c r="W712" s="756" t="s">
        <v>1940</v>
      </c>
      <c r="X712" s="779" t="s">
        <v>1941</v>
      </c>
      <c r="Y712" s="852">
        <v>0</v>
      </c>
      <c r="Z712" s="852">
        <v>1</v>
      </c>
      <c r="AA712" s="756" t="s">
        <v>1942</v>
      </c>
      <c r="AB712" s="820" t="s">
        <v>21</v>
      </c>
      <c r="AC712" s="775"/>
      <c r="AD712" s="775"/>
      <c r="AE712" s="775"/>
      <c r="AF712" s="775"/>
      <c r="AG712" s="775"/>
      <c r="AH712" s="775"/>
      <c r="AI712" s="775"/>
      <c r="AJ712" s="775"/>
      <c r="AK712" s="775"/>
      <c r="AL712" s="775"/>
      <c r="AM712" s="775"/>
      <c r="AN712" s="775"/>
      <c r="AO712" s="775"/>
      <c r="AP712" s="775"/>
    </row>
    <row r="713" spans="1:42" s="141" customFormat="1" ht="22.5" customHeight="1">
      <c r="A713" s="848"/>
      <c r="B713" s="848"/>
      <c r="C713" s="848"/>
      <c r="D713" s="848"/>
      <c r="E713" s="848"/>
      <c r="F713" s="850"/>
      <c r="G713" s="851"/>
      <c r="H713" s="852"/>
      <c r="I713" s="547" t="s">
        <v>1943</v>
      </c>
      <c r="J713" s="658">
        <f>VLOOKUP($I713,Prices!A:B,2,0)</f>
        <v>4</v>
      </c>
      <c r="K713" s="790">
        <f>VLOOKUP(I713,Prices!A:C,3,0)</f>
        <v>0</v>
      </c>
      <c r="L713" s="640" t="s">
        <v>224</v>
      </c>
      <c r="M713" s="640" t="s">
        <v>224</v>
      </c>
      <c r="N713" s="647">
        <f>VLOOKUP($I713,Prices!A:D,4,0)</f>
        <v>168000</v>
      </c>
      <c r="O713" s="769" t="s">
        <v>194</v>
      </c>
      <c r="P713" s="793" t="s">
        <v>194</v>
      </c>
      <c r="Q713" s="851"/>
      <c r="R713" s="851"/>
      <c r="S713" s="853"/>
      <c r="T713" s="852"/>
      <c r="U713" s="855"/>
      <c r="V713" s="855"/>
      <c r="W713" s="854" t="s">
        <v>1944</v>
      </c>
      <c r="X713" s="819" t="s">
        <v>21</v>
      </c>
      <c r="Y713" s="852"/>
      <c r="Z713" s="852"/>
      <c r="AA713" s="774"/>
      <c r="AB713" s="820" t="s">
        <v>21</v>
      </c>
      <c r="AC713" s="775"/>
      <c r="AD713" s="775"/>
      <c r="AE713" s="775"/>
      <c r="AF713" s="775"/>
      <c r="AG713" s="775"/>
      <c r="AH713" s="775"/>
      <c r="AI713" s="775"/>
      <c r="AJ713" s="775"/>
      <c r="AK713" s="775"/>
      <c r="AL713" s="775"/>
      <c r="AM713" s="775"/>
      <c r="AN713" s="775"/>
      <c r="AO713" s="775"/>
      <c r="AP713" s="775"/>
    </row>
    <row r="714" spans="1:42" s="141" customFormat="1" ht="16.5" customHeight="1">
      <c r="A714" s="848"/>
      <c r="B714" s="848"/>
      <c r="C714" s="848"/>
      <c r="D714" s="848"/>
      <c r="E714" s="848"/>
      <c r="F714" s="850"/>
      <c r="G714" s="851"/>
      <c r="H714" s="852"/>
      <c r="I714" s="547" t="s">
        <v>904</v>
      </c>
      <c r="J714" s="658">
        <f>VLOOKUP($I714,Prices!A:B,2,0)</f>
        <v>1</v>
      </c>
      <c r="K714" s="790">
        <f>VLOOKUP(I714,Prices!A:C,3,0)</f>
        <v>0</v>
      </c>
      <c r="L714" s="640">
        <v>4</v>
      </c>
      <c r="M714" s="640" t="s">
        <v>194</v>
      </c>
      <c r="N714" s="647">
        <f>VLOOKUP($I714,Prices!A:D,4,0)</f>
        <v>50000</v>
      </c>
      <c r="O714" s="769">
        <f t="shared" si="48"/>
        <v>200000</v>
      </c>
      <c r="P714" s="793" t="s">
        <v>194</v>
      </c>
      <c r="Q714" s="851"/>
      <c r="R714" s="851"/>
      <c r="S714" s="853"/>
      <c r="T714" s="852"/>
      <c r="U714" s="855"/>
      <c r="V714" s="855"/>
      <c r="W714" s="855"/>
      <c r="X714" s="819" t="s">
        <v>21</v>
      </c>
      <c r="Y714" s="852"/>
      <c r="Z714" s="852"/>
      <c r="AA714" s="774"/>
      <c r="AB714" s="820" t="s">
        <v>21</v>
      </c>
      <c r="AC714" s="775"/>
      <c r="AD714" s="775"/>
      <c r="AE714" s="775"/>
      <c r="AF714" s="775"/>
      <c r="AG714" s="775"/>
      <c r="AH714" s="775"/>
      <c r="AI714" s="775"/>
      <c r="AJ714" s="775"/>
      <c r="AK714" s="775"/>
      <c r="AL714" s="775"/>
      <c r="AM714" s="775"/>
      <c r="AN714" s="775"/>
      <c r="AO714" s="775"/>
      <c r="AP714" s="775"/>
    </row>
    <row r="715" spans="1:42" s="141" customFormat="1" ht="21.75" customHeight="1">
      <c r="A715" s="848"/>
      <c r="B715" s="848"/>
      <c r="C715" s="848"/>
      <c r="D715" s="848"/>
      <c r="E715" s="848"/>
      <c r="F715" s="850"/>
      <c r="G715" s="851"/>
      <c r="H715" s="852"/>
      <c r="I715" s="547" t="s">
        <v>1945</v>
      </c>
      <c r="J715" s="658">
        <f>VLOOKUP($I715,Prices!A:B,2,0)</f>
        <v>1</v>
      </c>
      <c r="K715" s="790">
        <f>VLOOKUP(I715,Prices!A:C,3,0)</f>
        <v>0</v>
      </c>
      <c r="L715" s="640">
        <v>2</v>
      </c>
      <c r="M715" s="640" t="s">
        <v>194</v>
      </c>
      <c r="N715" s="647">
        <f>VLOOKUP($I715,Prices!A:D,4,0)</f>
        <v>70000000</v>
      </c>
      <c r="O715" s="769">
        <f t="shared" si="48"/>
        <v>140000000</v>
      </c>
      <c r="P715" s="793" t="s">
        <v>194</v>
      </c>
      <c r="Q715" s="851"/>
      <c r="R715" s="851"/>
      <c r="S715" s="853"/>
      <c r="T715" s="852"/>
      <c r="U715" s="855"/>
      <c r="V715" s="855"/>
      <c r="W715" s="855"/>
      <c r="X715" s="819" t="s">
        <v>21</v>
      </c>
      <c r="Y715" s="852"/>
      <c r="Z715" s="852"/>
      <c r="AA715" s="774"/>
      <c r="AB715" s="820" t="s">
        <v>21</v>
      </c>
      <c r="AC715" s="775"/>
      <c r="AD715" s="775"/>
      <c r="AE715" s="775"/>
      <c r="AF715" s="775"/>
      <c r="AG715" s="775"/>
      <c r="AH715" s="775"/>
      <c r="AI715" s="775"/>
      <c r="AJ715" s="775"/>
      <c r="AK715" s="775"/>
      <c r="AL715" s="775"/>
      <c r="AM715" s="775"/>
      <c r="AN715" s="775"/>
      <c r="AO715" s="775"/>
      <c r="AP715" s="775"/>
    </row>
    <row r="716" spans="1:42" s="141" customFormat="1" ht="18" customHeight="1">
      <c r="A716" s="848"/>
      <c r="B716" s="848"/>
      <c r="C716" s="848"/>
      <c r="D716" s="848"/>
      <c r="E716" s="848"/>
      <c r="F716" s="850"/>
      <c r="G716" s="851"/>
      <c r="H716" s="852"/>
      <c r="I716" s="547" t="s">
        <v>675</v>
      </c>
      <c r="J716" s="658">
        <f>VLOOKUP($I716,Prices!A:B,2,0)</f>
        <v>3</v>
      </c>
      <c r="K716" s="790">
        <f>VLOOKUP(I716,Prices!A:C,3,0)</f>
        <v>0</v>
      </c>
      <c r="L716" s="640" t="s">
        <v>1946</v>
      </c>
      <c r="M716" s="640" t="s">
        <v>194</v>
      </c>
      <c r="N716" s="647">
        <f>VLOOKUP($I716,Prices!A:D,4,0)</f>
        <v>80000</v>
      </c>
      <c r="O716" s="769" t="s">
        <v>194</v>
      </c>
      <c r="P716" s="793" t="s">
        <v>194</v>
      </c>
      <c r="Q716" s="851"/>
      <c r="R716" s="851"/>
      <c r="S716" s="853"/>
      <c r="T716" s="852"/>
      <c r="U716" s="855"/>
      <c r="V716" s="855"/>
      <c r="W716" s="855"/>
      <c r="X716" s="819" t="s">
        <v>21</v>
      </c>
      <c r="Y716" s="852"/>
      <c r="Z716" s="852"/>
      <c r="AA716" s="774"/>
      <c r="AB716" s="820" t="s">
        <v>21</v>
      </c>
      <c r="AC716" s="775"/>
      <c r="AD716" s="775"/>
      <c r="AE716" s="775"/>
      <c r="AF716" s="775"/>
      <c r="AG716" s="775"/>
      <c r="AH716" s="775"/>
      <c r="AI716" s="775"/>
      <c r="AJ716" s="775"/>
      <c r="AK716" s="775"/>
      <c r="AL716" s="775"/>
      <c r="AM716" s="775"/>
      <c r="AN716" s="775"/>
      <c r="AO716" s="775"/>
      <c r="AP716" s="775"/>
    </row>
    <row r="717" spans="1:42" s="141" customFormat="1" ht="15.75" customHeight="1">
      <c r="A717" s="848"/>
      <c r="B717" s="848"/>
      <c r="C717" s="848"/>
      <c r="D717" s="848"/>
      <c r="E717" s="848"/>
      <c r="F717" s="850"/>
      <c r="G717" s="851"/>
      <c r="H717" s="852"/>
      <c r="I717" s="547" t="s">
        <v>1947</v>
      </c>
      <c r="J717" s="658">
        <f>VLOOKUP($I717,Prices!A:B,2,0)</f>
        <v>3</v>
      </c>
      <c r="K717" s="790">
        <f>VLOOKUP(I717,Prices!A:C,3,0)</f>
        <v>0</v>
      </c>
      <c r="L717" s="640">
        <v>50</v>
      </c>
      <c r="M717" s="640" t="s">
        <v>194</v>
      </c>
      <c r="N717" s="647">
        <f>VLOOKUP($I717,Prices!A:D,4,0)</f>
        <v>126000</v>
      </c>
      <c r="O717" s="769">
        <f t="shared" si="48"/>
        <v>6300000</v>
      </c>
      <c r="P717" s="793" t="s">
        <v>194</v>
      </c>
      <c r="Q717" s="851"/>
      <c r="R717" s="851"/>
      <c r="S717" s="853"/>
      <c r="T717" s="852"/>
      <c r="U717" s="855"/>
      <c r="V717" s="855"/>
      <c r="W717" s="855"/>
      <c r="X717" s="819" t="s">
        <v>21</v>
      </c>
      <c r="Y717" s="852"/>
      <c r="Z717" s="852"/>
      <c r="AA717" s="774"/>
      <c r="AB717" s="820" t="s">
        <v>21</v>
      </c>
      <c r="AC717" s="775"/>
      <c r="AD717" s="775"/>
      <c r="AE717" s="775"/>
      <c r="AF717" s="775"/>
      <c r="AG717" s="775"/>
      <c r="AH717" s="775"/>
      <c r="AI717" s="775"/>
      <c r="AJ717" s="775"/>
      <c r="AK717" s="775"/>
      <c r="AL717" s="775"/>
      <c r="AM717" s="775"/>
      <c r="AN717" s="775"/>
      <c r="AO717" s="775"/>
      <c r="AP717" s="775"/>
    </row>
    <row r="718" spans="1:42" s="141" customFormat="1" ht="19.5" customHeight="1">
      <c r="A718" s="848"/>
      <c r="B718" s="848"/>
      <c r="C718" s="848"/>
      <c r="D718" s="848"/>
      <c r="E718" s="848"/>
      <c r="F718" s="850"/>
      <c r="G718" s="851"/>
      <c r="H718" s="852"/>
      <c r="I718" s="547" t="s">
        <v>1948</v>
      </c>
      <c r="J718" s="658">
        <f>VLOOKUP($I718,Prices!A:B,2,0)</f>
        <v>3</v>
      </c>
      <c r="K718" s="790">
        <f>VLOOKUP(I718,Prices!A:C,3,0)</f>
        <v>0</v>
      </c>
      <c r="L718" s="640" t="s">
        <v>1949</v>
      </c>
      <c r="M718" s="640" t="s">
        <v>194</v>
      </c>
      <c r="N718" s="647" t="str">
        <f>VLOOKUP($I718,Prices!A:D,4,0)</f>
        <v>.</v>
      </c>
      <c r="O718" s="769" t="s">
        <v>194</v>
      </c>
      <c r="P718" s="793" t="s">
        <v>194</v>
      </c>
      <c r="Q718" s="851"/>
      <c r="R718" s="851"/>
      <c r="S718" s="853"/>
      <c r="T718" s="852"/>
      <c r="U718" s="855"/>
      <c r="V718" s="855"/>
      <c r="W718" s="855"/>
      <c r="X718" s="819" t="s">
        <v>21</v>
      </c>
      <c r="Y718" s="852"/>
      <c r="Z718" s="852"/>
      <c r="AA718" s="774"/>
      <c r="AB718" s="820" t="s">
        <v>21</v>
      </c>
      <c r="AC718" s="775"/>
      <c r="AD718" s="775"/>
      <c r="AE718" s="775"/>
      <c r="AF718" s="775"/>
      <c r="AG718" s="775"/>
      <c r="AH718" s="775"/>
      <c r="AI718" s="775"/>
      <c r="AJ718" s="775"/>
      <c r="AK718" s="775"/>
      <c r="AL718" s="775"/>
      <c r="AM718" s="775"/>
      <c r="AN718" s="775"/>
      <c r="AO718" s="775"/>
      <c r="AP718" s="775"/>
    </row>
    <row r="719" spans="1:42" s="141" customFormat="1" ht="20.25" customHeight="1">
      <c r="A719" s="848"/>
      <c r="B719" s="848"/>
      <c r="C719" s="848"/>
      <c r="D719" s="848"/>
      <c r="E719" s="848"/>
      <c r="F719" s="850"/>
      <c r="G719" s="851"/>
      <c r="H719" s="852"/>
      <c r="I719" s="547" t="s">
        <v>1950</v>
      </c>
      <c r="J719" s="658">
        <f>VLOOKUP($I719,Prices!A:B,2,0)</f>
        <v>4.5</v>
      </c>
      <c r="K719" s="790">
        <f>VLOOKUP(I719,Prices!A:C,3,0)</f>
        <v>0</v>
      </c>
      <c r="L719" s="640" t="s">
        <v>1951</v>
      </c>
      <c r="M719" s="640" t="s">
        <v>194</v>
      </c>
      <c r="N719" s="647">
        <f>VLOOKUP($I719,Prices!A:D,4,0)</f>
        <v>3890</v>
      </c>
      <c r="O719" s="769" t="s">
        <v>194</v>
      </c>
      <c r="P719" s="793" t="s">
        <v>194</v>
      </c>
      <c r="Q719" s="851"/>
      <c r="R719" s="851"/>
      <c r="S719" s="853"/>
      <c r="T719" s="852"/>
      <c r="U719" s="855"/>
      <c r="V719" s="855"/>
      <c r="W719" s="855"/>
      <c r="X719" s="819" t="s">
        <v>21</v>
      </c>
      <c r="Y719" s="852"/>
      <c r="Z719" s="852"/>
      <c r="AA719" s="774"/>
      <c r="AB719" s="820" t="s">
        <v>21</v>
      </c>
      <c r="AC719" s="775"/>
      <c r="AD719" s="775"/>
      <c r="AE719" s="775"/>
      <c r="AF719" s="775"/>
      <c r="AG719" s="775"/>
      <c r="AH719" s="775"/>
      <c r="AI719" s="775"/>
      <c r="AJ719" s="775"/>
      <c r="AK719" s="775"/>
      <c r="AL719" s="775"/>
      <c r="AM719" s="775"/>
      <c r="AN719" s="775"/>
      <c r="AO719" s="775"/>
      <c r="AP719" s="775"/>
    </row>
    <row r="720" spans="1:42" s="141" customFormat="1" ht="18.75" customHeight="1">
      <c r="A720" s="848"/>
      <c r="B720" s="848"/>
      <c r="C720" s="848"/>
      <c r="D720" s="848"/>
      <c r="E720" s="848"/>
      <c r="F720" s="850"/>
      <c r="G720" s="851"/>
      <c r="H720" s="852"/>
      <c r="I720" s="547" t="s">
        <v>1894</v>
      </c>
      <c r="J720" s="658">
        <f>VLOOKUP($I720,Prices!A:B,2,0)</f>
        <v>5</v>
      </c>
      <c r="K720" s="790">
        <f>VLOOKUP(I720,Prices!A:C,3,0)</f>
        <v>1</v>
      </c>
      <c r="L720" s="640">
        <v>4</v>
      </c>
      <c r="M720" s="640">
        <v>3</v>
      </c>
      <c r="N720" s="647">
        <f>VLOOKUP($I720,Prices!A:D,4,0)</f>
        <v>17400000</v>
      </c>
      <c r="O720" s="769">
        <f t="shared" ref="O720:O759" si="51">L720*N720</f>
        <v>69600000</v>
      </c>
      <c r="P720" s="793">
        <f t="shared" si="50"/>
        <v>52200000</v>
      </c>
      <c r="Q720" s="851"/>
      <c r="R720" s="851"/>
      <c r="S720" s="853"/>
      <c r="T720" s="852"/>
      <c r="U720" s="855"/>
      <c r="V720" s="855"/>
      <c r="W720" s="855"/>
      <c r="X720" s="819" t="s">
        <v>21</v>
      </c>
      <c r="Y720" s="852"/>
      <c r="Z720" s="852"/>
      <c r="AA720" s="654" t="s">
        <v>1952</v>
      </c>
      <c r="AB720" s="820" t="s">
        <v>21</v>
      </c>
      <c r="AC720" s="775"/>
      <c r="AD720" s="775"/>
      <c r="AE720" s="775"/>
      <c r="AF720" s="775"/>
      <c r="AG720" s="775"/>
      <c r="AH720" s="775"/>
      <c r="AI720" s="775"/>
      <c r="AJ720" s="775"/>
      <c r="AK720" s="775"/>
      <c r="AL720" s="775"/>
      <c r="AM720" s="775"/>
      <c r="AN720" s="775"/>
      <c r="AO720" s="775"/>
      <c r="AP720" s="775"/>
    </row>
    <row r="721" spans="1:42" s="141" customFormat="1" ht="15" customHeight="1">
      <c r="A721" s="848"/>
      <c r="B721" s="848"/>
      <c r="C721" s="848"/>
      <c r="D721" s="848"/>
      <c r="E721" s="848"/>
      <c r="F721" s="850"/>
      <c r="G721" s="851"/>
      <c r="H721" s="852"/>
      <c r="I721" s="547" t="s">
        <v>1953</v>
      </c>
      <c r="J721" s="658">
        <f>VLOOKUP($I721,Prices!A:B,2,0)</f>
        <v>1</v>
      </c>
      <c r="K721" s="790">
        <f>VLOOKUP(I721,Prices!A:C,3,0)</f>
        <v>0</v>
      </c>
      <c r="L721" s="640">
        <v>15</v>
      </c>
      <c r="M721" s="640" t="s">
        <v>194</v>
      </c>
      <c r="N721" s="647">
        <f>VLOOKUP($I721,Prices!A:D,4,0)</f>
        <v>350000</v>
      </c>
      <c r="O721" s="769">
        <f t="shared" si="51"/>
        <v>5250000</v>
      </c>
      <c r="P721" s="793" t="s">
        <v>194</v>
      </c>
      <c r="Q721" s="851"/>
      <c r="R721" s="851"/>
      <c r="S721" s="853"/>
      <c r="T721" s="852"/>
      <c r="U721" s="855"/>
      <c r="V721" s="855"/>
      <c r="W721" s="855"/>
      <c r="X721" s="819" t="s">
        <v>21</v>
      </c>
      <c r="Y721" s="852"/>
      <c r="Z721" s="852"/>
      <c r="AA721" s="774"/>
      <c r="AB721" s="820" t="s">
        <v>21</v>
      </c>
      <c r="AC721" s="775"/>
      <c r="AD721" s="775"/>
      <c r="AE721" s="775"/>
      <c r="AF721" s="775"/>
      <c r="AG721" s="775"/>
      <c r="AH721" s="775"/>
      <c r="AI721" s="775"/>
      <c r="AJ721" s="775"/>
      <c r="AK721" s="775"/>
      <c r="AL721" s="775"/>
      <c r="AM721" s="775"/>
      <c r="AN721" s="775"/>
      <c r="AO721" s="775"/>
      <c r="AP721" s="775"/>
    </row>
    <row r="722" spans="1:42" s="141" customFormat="1" ht="15.75" customHeight="1">
      <c r="A722" s="848"/>
      <c r="B722" s="848"/>
      <c r="C722" s="848"/>
      <c r="D722" s="848"/>
      <c r="E722" s="848"/>
      <c r="F722" s="850"/>
      <c r="G722" s="851"/>
      <c r="H722" s="852"/>
      <c r="I722" s="547" t="s">
        <v>1954</v>
      </c>
      <c r="J722" s="658">
        <f>VLOOKUP($I722,Prices!A:B,2,0)</f>
        <v>1</v>
      </c>
      <c r="K722" s="790">
        <f>VLOOKUP(I722,Prices!A:C,3,0)</f>
        <v>0</v>
      </c>
      <c r="L722" s="640" t="s">
        <v>224</v>
      </c>
      <c r="M722" s="640" t="s">
        <v>194</v>
      </c>
      <c r="N722" s="647" t="str">
        <f>VLOOKUP($I722,Prices!A:D,4,0)</f>
        <v>.</v>
      </c>
      <c r="O722" s="769" t="s">
        <v>194</v>
      </c>
      <c r="P722" s="793" t="s">
        <v>194</v>
      </c>
      <c r="Q722" s="851"/>
      <c r="R722" s="851"/>
      <c r="S722" s="853"/>
      <c r="T722" s="852"/>
      <c r="U722" s="855"/>
      <c r="V722" s="855"/>
      <c r="W722" s="855"/>
      <c r="X722" s="819" t="s">
        <v>21</v>
      </c>
      <c r="Y722" s="852"/>
      <c r="Z722" s="852"/>
      <c r="AA722" s="774"/>
      <c r="AB722" s="820" t="s">
        <v>21</v>
      </c>
      <c r="AC722" s="775"/>
      <c r="AD722" s="775"/>
      <c r="AE722" s="775"/>
      <c r="AF722" s="775"/>
      <c r="AG722" s="775"/>
      <c r="AH722" s="775"/>
      <c r="AI722" s="775"/>
      <c r="AJ722" s="775"/>
      <c r="AK722" s="775"/>
      <c r="AL722" s="775"/>
      <c r="AM722" s="775"/>
      <c r="AN722" s="775"/>
      <c r="AO722" s="775"/>
      <c r="AP722" s="775"/>
    </row>
    <row r="723" spans="1:42" s="141" customFormat="1" ht="19.5" customHeight="1">
      <c r="A723" s="848"/>
      <c r="B723" s="848"/>
      <c r="C723" s="849">
        <v>44729</v>
      </c>
      <c r="D723" s="848"/>
      <c r="E723" s="848" t="s">
        <v>213</v>
      </c>
      <c r="F723" s="859" t="s">
        <v>1955</v>
      </c>
      <c r="G723" s="851">
        <v>350000000</v>
      </c>
      <c r="H723" s="852" t="s">
        <v>260</v>
      </c>
      <c r="I723" s="547" t="s">
        <v>246</v>
      </c>
      <c r="J723" s="658">
        <f>VLOOKUP($I723,Prices!A:B,2,0)</f>
        <v>4</v>
      </c>
      <c r="K723" s="790">
        <f>VLOOKUP(I723,Prices!A:C,3,0)</f>
        <v>0</v>
      </c>
      <c r="L723" s="640">
        <v>18</v>
      </c>
      <c r="M723" s="640" t="s">
        <v>194</v>
      </c>
      <c r="N723" s="647">
        <f>VLOOKUP($I723,Prices!A:D,4,0)</f>
        <v>5170000</v>
      </c>
      <c r="O723" s="769">
        <f t="shared" si="51"/>
        <v>93060000</v>
      </c>
      <c r="P723" s="793" t="s">
        <v>194</v>
      </c>
      <c r="Q723" s="851"/>
      <c r="R723" s="851"/>
      <c r="S723" s="853"/>
      <c r="T723" s="852" t="s">
        <v>195</v>
      </c>
      <c r="U723" s="854" t="s">
        <v>1956</v>
      </c>
      <c r="V723" s="854" t="s">
        <v>1957</v>
      </c>
      <c r="W723" s="854" t="s">
        <v>1958</v>
      </c>
      <c r="X723" s="819" t="s">
        <v>21</v>
      </c>
      <c r="Y723" s="852">
        <v>0</v>
      </c>
      <c r="Z723" s="852">
        <v>1</v>
      </c>
      <c r="AA723" s="774"/>
      <c r="AB723" s="858" t="s">
        <v>21</v>
      </c>
      <c r="AC723" s="775"/>
      <c r="AD723" s="775"/>
      <c r="AE723" s="775"/>
      <c r="AF723" s="775"/>
      <c r="AG723" s="775"/>
      <c r="AH723" s="775"/>
      <c r="AI723" s="775"/>
      <c r="AJ723" s="775"/>
      <c r="AK723" s="775"/>
      <c r="AL723" s="775"/>
      <c r="AM723" s="775"/>
      <c r="AN723" s="775"/>
      <c r="AO723" s="775"/>
      <c r="AP723" s="775"/>
    </row>
    <row r="724" spans="1:42" s="141" customFormat="1" ht="17.25" customHeight="1">
      <c r="A724" s="848"/>
      <c r="B724" s="848"/>
      <c r="C724" s="848"/>
      <c r="D724" s="848"/>
      <c r="E724" s="848"/>
      <c r="F724" s="859"/>
      <c r="G724" s="851"/>
      <c r="H724" s="852"/>
      <c r="I724" s="547" t="s">
        <v>1950</v>
      </c>
      <c r="J724" s="658">
        <f>VLOOKUP($I724,Prices!A:B,2,0)</f>
        <v>4.5</v>
      </c>
      <c r="K724" s="790">
        <f>VLOOKUP(I724,Prices!A:C,3,0)</f>
        <v>0</v>
      </c>
      <c r="L724" s="640">
        <v>36000</v>
      </c>
      <c r="M724" s="640" t="s">
        <v>194</v>
      </c>
      <c r="N724" s="647">
        <f>VLOOKUP($I724,Prices!A:D,4,0)</f>
        <v>3890</v>
      </c>
      <c r="O724" s="769">
        <f t="shared" si="51"/>
        <v>140040000</v>
      </c>
      <c r="P724" s="793" t="s">
        <v>194</v>
      </c>
      <c r="Q724" s="851"/>
      <c r="R724" s="851"/>
      <c r="S724" s="853"/>
      <c r="T724" s="852"/>
      <c r="U724" s="855"/>
      <c r="V724" s="855"/>
      <c r="W724" s="855"/>
      <c r="X724" s="819" t="s">
        <v>21</v>
      </c>
      <c r="Y724" s="852"/>
      <c r="Z724" s="852"/>
      <c r="AA724" s="774"/>
      <c r="AB724" s="858"/>
      <c r="AC724" s="775"/>
      <c r="AD724" s="775"/>
      <c r="AE724" s="775"/>
      <c r="AF724" s="775"/>
      <c r="AG724" s="775"/>
      <c r="AH724" s="775"/>
      <c r="AI724" s="775"/>
      <c r="AJ724" s="775"/>
      <c r="AK724" s="775"/>
      <c r="AL724" s="775"/>
      <c r="AM724" s="775"/>
      <c r="AN724" s="775"/>
      <c r="AO724" s="775"/>
      <c r="AP724" s="775"/>
    </row>
    <row r="725" spans="1:42" s="141" customFormat="1" ht="18.75" customHeight="1">
      <c r="A725" s="848"/>
      <c r="B725" s="848"/>
      <c r="C725" s="848"/>
      <c r="D725" s="848"/>
      <c r="E725" s="848"/>
      <c r="F725" s="859"/>
      <c r="G725" s="851"/>
      <c r="H725" s="852"/>
      <c r="I725" s="547" t="s">
        <v>1905</v>
      </c>
      <c r="J725" s="658">
        <f>VLOOKUP($I725,Prices!A:B,2,0)</f>
        <v>1</v>
      </c>
      <c r="K725" s="790">
        <f>VLOOKUP(I725,Prices!A:C,3,0)</f>
        <v>0</v>
      </c>
      <c r="L725" s="640">
        <v>18</v>
      </c>
      <c r="M725" s="640" t="s">
        <v>194</v>
      </c>
      <c r="N725" s="647">
        <f>VLOOKUP($I725,Prices!A:D,4,0)</f>
        <v>350000</v>
      </c>
      <c r="O725" s="769">
        <f t="shared" si="51"/>
        <v>6300000</v>
      </c>
      <c r="P725" s="793" t="s">
        <v>194</v>
      </c>
      <c r="Q725" s="851"/>
      <c r="R725" s="851"/>
      <c r="S725" s="853"/>
      <c r="T725" s="852"/>
      <c r="U725" s="855"/>
      <c r="V725" s="855"/>
      <c r="W725" s="855"/>
      <c r="X725" s="819" t="s">
        <v>21</v>
      </c>
      <c r="Y725" s="852"/>
      <c r="Z725" s="852"/>
      <c r="AA725" s="774"/>
      <c r="AB725" s="858"/>
      <c r="AC725" s="775"/>
      <c r="AD725" s="775"/>
      <c r="AE725" s="775"/>
      <c r="AF725" s="775"/>
      <c r="AG725" s="775"/>
      <c r="AH725" s="775"/>
      <c r="AI725" s="775"/>
      <c r="AJ725" s="775"/>
      <c r="AK725" s="775"/>
      <c r="AL725" s="775"/>
      <c r="AM725" s="775"/>
      <c r="AN725" s="775"/>
      <c r="AO725" s="775"/>
      <c r="AP725" s="775"/>
    </row>
    <row r="726" spans="1:42" s="141" customFormat="1" ht="21.75" customHeight="1">
      <c r="A726" s="848"/>
      <c r="B726" s="848"/>
      <c r="C726" s="848"/>
      <c r="D726" s="848"/>
      <c r="E726" s="848"/>
      <c r="F726" s="859"/>
      <c r="G726" s="851"/>
      <c r="H726" s="852"/>
      <c r="I726" s="547" t="s">
        <v>1959</v>
      </c>
      <c r="J726" s="658">
        <f>VLOOKUP($I726,Prices!A:B,2,0)</f>
        <v>4.5</v>
      </c>
      <c r="K726" s="790">
        <f>VLOOKUP(I726,Prices!A:C,3,0)</f>
        <v>0</v>
      </c>
      <c r="L726" s="640" t="s">
        <v>224</v>
      </c>
      <c r="M726" s="640" t="s">
        <v>194</v>
      </c>
      <c r="N726" s="647" t="str">
        <f>VLOOKUP($I726,Prices!A:D,4,0)</f>
        <v>.</v>
      </c>
      <c r="O726" s="769" t="s">
        <v>194</v>
      </c>
      <c r="P726" s="793" t="s">
        <v>194</v>
      </c>
      <c r="Q726" s="851"/>
      <c r="R726" s="851"/>
      <c r="S726" s="853"/>
      <c r="T726" s="852"/>
      <c r="U726" s="855"/>
      <c r="V726" s="855"/>
      <c r="W726" s="855"/>
      <c r="X726" s="819" t="s">
        <v>21</v>
      </c>
      <c r="Y726" s="852"/>
      <c r="Z726" s="852"/>
      <c r="AA726" s="774"/>
      <c r="AB726" s="858"/>
      <c r="AC726" s="775"/>
      <c r="AD726" s="775"/>
      <c r="AE726" s="775"/>
      <c r="AF726" s="775"/>
      <c r="AG726" s="775"/>
      <c r="AH726" s="775"/>
      <c r="AI726" s="775"/>
      <c r="AJ726" s="775"/>
      <c r="AK726" s="775"/>
      <c r="AL726" s="775"/>
      <c r="AM726" s="775"/>
      <c r="AN726" s="775"/>
      <c r="AO726" s="775"/>
      <c r="AP726" s="775"/>
    </row>
    <row r="727" spans="1:42" s="141" customFormat="1" ht="18" customHeight="1">
      <c r="A727" s="848"/>
      <c r="B727" s="848"/>
      <c r="C727" s="848"/>
      <c r="D727" s="848"/>
      <c r="E727" s="848"/>
      <c r="F727" s="859"/>
      <c r="G727" s="851"/>
      <c r="H727" s="852"/>
      <c r="I727" s="547" t="s">
        <v>1960</v>
      </c>
      <c r="J727" s="658">
        <f>VLOOKUP($I727,Prices!A:B,2,0)</f>
        <v>1</v>
      </c>
      <c r="K727" s="790">
        <f>VLOOKUP(I727,Prices!A:C,3,0)</f>
        <v>0</v>
      </c>
      <c r="L727" s="640">
        <v>4</v>
      </c>
      <c r="M727" s="640" t="s">
        <v>194</v>
      </c>
      <c r="N727" s="647">
        <f>VLOOKUP($I727,Prices!A:D,4,0)</f>
        <v>350000</v>
      </c>
      <c r="O727" s="769">
        <f t="shared" si="51"/>
        <v>1400000</v>
      </c>
      <c r="P727" s="793" t="s">
        <v>194</v>
      </c>
      <c r="Q727" s="851"/>
      <c r="R727" s="851"/>
      <c r="S727" s="853"/>
      <c r="T727" s="852"/>
      <c r="U727" s="855"/>
      <c r="V727" s="855"/>
      <c r="W727" s="855"/>
      <c r="X727" s="819" t="s">
        <v>21</v>
      </c>
      <c r="Y727" s="852"/>
      <c r="Z727" s="852"/>
      <c r="AA727" s="774"/>
      <c r="AB727" s="858"/>
      <c r="AC727" s="775"/>
      <c r="AD727" s="775"/>
      <c r="AE727" s="775"/>
      <c r="AF727" s="775"/>
      <c r="AG727" s="775"/>
      <c r="AH727" s="775"/>
      <c r="AI727" s="775"/>
      <c r="AJ727" s="775"/>
      <c r="AK727" s="775"/>
      <c r="AL727" s="775"/>
      <c r="AM727" s="775"/>
      <c r="AN727" s="775"/>
      <c r="AO727" s="775"/>
      <c r="AP727" s="775"/>
    </row>
    <row r="728" spans="1:42" s="141" customFormat="1" ht="17.25" customHeight="1">
      <c r="A728" s="848"/>
      <c r="B728" s="848"/>
      <c r="C728" s="848"/>
      <c r="D728" s="848"/>
      <c r="E728" s="848"/>
      <c r="F728" s="859"/>
      <c r="G728" s="851"/>
      <c r="H728" s="852"/>
      <c r="I728" s="547" t="s">
        <v>1954</v>
      </c>
      <c r="J728" s="658">
        <f>VLOOKUP($I728,Prices!A:B,2,0)</f>
        <v>1</v>
      </c>
      <c r="K728" s="790">
        <f>VLOOKUP(I728,Prices!A:C,3,0)</f>
        <v>0</v>
      </c>
      <c r="L728" s="640" t="s">
        <v>224</v>
      </c>
      <c r="M728" s="640" t="s">
        <v>194</v>
      </c>
      <c r="N728" s="647" t="str">
        <f>VLOOKUP($I728,Prices!A:D,4,0)</f>
        <v>.</v>
      </c>
      <c r="O728" s="769" t="s">
        <v>194</v>
      </c>
      <c r="P728" s="793" t="s">
        <v>194</v>
      </c>
      <c r="Q728" s="851"/>
      <c r="R728" s="851"/>
      <c r="S728" s="853"/>
      <c r="T728" s="852"/>
      <c r="U728" s="855"/>
      <c r="V728" s="855"/>
      <c r="W728" s="855"/>
      <c r="X728" s="819" t="s">
        <v>21</v>
      </c>
      <c r="Y728" s="852"/>
      <c r="Z728" s="852"/>
      <c r="AA728" s="774"/>
      <c r="AB728" s="858"/>
      <c r="AC728" s="775"/>
      <c r="AD728" s="775"/>
      <c r="AE728" s="775"/>
      <c r="AF728" s="775"/>
      <c r="AG728" s="775"/>
      <c r="AH728" s="775"/>
      <c r="AI728" s="775"/>
      <c r="AJ728" s="775"/>
      <c r="AK728" s="775"/>
      <c r="AL728" s="775"/>
      <c r="AM728" s="775"/>
      <c r="AN728" s="775"/>
      <c r="AO728" s="775"/>
      <c r="AP728" s="775"/>
    </row>
    <row r="729" spans="1:42" s="141" customFormat="1" ht="18.75" customHeight="1">
      <c r="A729" s="848"/>
      <c r="B729" s="848"/>
      <c r="C729" s="849">
        <v>44735</v>
      </c>
      <c r="D729" s="848"/>
      <c r="E729" s="848" t="s">
        <v>213</v>
      </c>
      <c r="F729" s="859" t="s">
        <v>1961</v>
      </c>
      <c r="G729" s="851">
        <v>450000000</v>
      </c>
      <c r="H729" s="852" t="s">
        <v>260</v>
      </c>
      <c r="I729" s="547" t="s">
        <v>1938</v>
      </c>
      <c r="J729" s="658">
        <f>VLOOKUP($I729,Prices!A:B,2,0)</f>
        <v>4</v>
      </c>
      <c r="K729" s="790">
        <f>VLOOKUP(I729,Prices!A:C,3,0)</f>
        <v>0</v>
      </c>
      <c r="L729" s="640">
        <v>4</v>
      </c>
      <c r="M729" s="640" t="s">
        <v>194</v>
      </c>
      <c r="N729" s="647">
        <f>VLOOKUP($I729,Prices!A:D,4,0)</f>
        <v>5600000</v>
      </c>
      <c r="O729" s="769">
        <f t="shared" si="51"/>
        <v>22400000</v>
      </c>
      <c r="P729" s="793" t="s">
        <v>194</v>
      </c>
      <c r="Q729" s="851"/>
      <c r="R729" s="851"/>
      <c r="S729" s="853"/>
      <c r="T729" s="852" t="s">
        <v>195</v>
      </c>
      <c r="U729" s="860" t="s">
        <v>1962</v>
      </c>
      <c r="V729" s="860" t="s">
        <v>21</v>
      </c>
      <c r="W729" s="860" t="s">
        <v>21</v>
      </c>
      <c r="X729" s="861" t="s">
        <v>21</v>
      </c>
      <c r="Y729" s="852">
        <v>0</v>
      </c>
      <c r="Z729" s="852">
        <v>1</v>
      </c>
      <c r="AA729" s="774"/>
      <c r="AB729" s="820" t="s">
        <v>21</v>
      </c>
      <c r="AC729" s="775"/>
      <c r="AD729" s="775"/>
      <c r="AE729" s="775"/>
      <c r="AF729" s="775"/>
      <c r="AG729" s="775"/>
      <c r="AH729" s="775"/>
      <c r="AI729" s="775"/>
      <c r="AJ729" s="775"/>
      <c r="AK729" s="775"/>
      <c r="AL729" s="775"/>
      <c r="AM729" s="775"/>
      <c r="AN729" s="775"/>
      <c r="AO729" s="775"/>
      <c r="AP729" s="775"/>
    </row>
    <row r="730" spans="1:42" s="141" customFormat="1" ht="21.75" customHeight="1">
      <c r="A730" s="848"/>
      <c r="B730" s="848"/>
      <c r="C730" s="848"/>
      <c r="D730" s="848"/>
      <c r="E730" s="848"/>
      <c r="F730" s="859"/>
      <c r="G730" s="851"/>
      <c r="H730" s="852"/>
      <c r="I730" s="547" t="s">
        <v>1963</v>
      </c>
      <c r="J730" s="658">
        <f>VLOOKUP($I730,Prices!A:B,2,0)</f>
        <v>3.5</v>
      </c>
      <c r="K730" s="790">
        <f>VLOOKUP(I730,Prices!A:C,3,0)</f>
        <v>0</v>
      </c>
      <c r="L730" s="640">
        <v>36000</v>
      </c>
      <c r="M730" s="640" t="s">
        <v>194</v>
      </c>
      <c r="N730" s="647">
        <f>VLOOKUP($I730,Prices!A:D,4,0)</f>
        <v>400</v>
      </c>
      <c r="O730" s="769">
        <f t="shared" si="51"/>
        <v>14400000</v>
      </c>
      <c r="P730" s="793" t="s">
        <v>194</v>
      </c>
      <c r="Q730" s="851"/>
      <c r="R730" s="851"/>
      <c r="S730" s="853"/>
      <c r="T730" s="852"/>
      <c r="U730" s="860"/>
      <c r="V730" s="860"/>
      <c r="W730" s="860"/>
      <c r="X730" s="861"/>
      <c r="Y730" s="852"/>
      <c r="Z730" s="852"/>
      <c r="AA730" s="774"/>
      <c r="AB730" s="820" t="s">
        <v>21</v>
      </c>
      <c r="AC730" s="775"/>
      <c r="AD730" s="775"/>
      <c r="AE730" s="775"/>
      <c r="AF730" s="775"/>
      <c r="AG730" s="775"/>
      <c r="AH730" s="775"/>
      <c r="AI730" s="775"/>
      <c r="AJ730" s="775"/>
      <c r="AK730" s="775"/>
      <c r="AL730" s="775"/>
      <c r="AM730" s="775"/>
      <c r="AN730" s="775"/>
      <c r="AO730" s="775"/>
      <c r="AP730" s="775"/>
    </row>
    <row r="731" spans="1:42" s="141" customFormat="1" ht="19.5" customHeight="1">
      <c r="A731" s="848"/>
      <c r="B731" s="848"/>
      <c r="C731" s="848"/>
      <c r="D731" s="848"/>
      <c r="E731" s="848"/>
      <c r="F731" s="859"/>
      <c r="G731" s="851"/>
      <c r="H731" s="852"/>
      <c r="I731" s="547" t="s">
        <v>1905</v>
      </c>
      <c r="J731" s="658">
        <f>VLOOKUP($I731,Prices!A:B,2,0)</f>
        <v>1</v>
      </c>
      <c r="K731" s="790">
        <f>VLOOKUP(I731,Prices!A:C,3,0)</f>
        <v>0</v>
      </c>
      <c r="L731" s="640">
        <v>18</v>
      </c>
      <c r="M731" s="640" t="s">
        <v>194</v>
      </c>
      <c r="N731" s="647">
        <f>VLOOKUP($I731,Prices!A:D,4,0)</f>
        <v>350000</v>
      </c>
      <c r="O731" s="769">
        <f t="shared" si="51"/>
        <v>6300000</v>
      </c>
      <c r="P731" s="793" t="s">
        <v>194</v>
      </c>
      <c r="Q731" s="851"/>
      <c r="R731" s="851"/>
      <c r="S731" s="853"/>
      <c r="T731" s="852"/>
      <c r="U731" s="860"/>
      <c r="V731" s="860"/>
      <c r="W731" s="860"/>
      <c r="X731" s="861"/>
      <c r="Y731" s="852"/>
      <c r="Z731" s="852"/>
      <c r="AA731" s="774"/>
      <c r="AB731" s="820" t="s">
        <v>21</v>
      </c>
      <c r="AC731" s="775"/>
      <c r="AD731" s="775"/>
      <c r="AE731" s="775"/>
      <c r="AF731" s="775"/>
      <c r="AG731" s="775"/>
      <c r="AH731" s="775"/>
      <c r="AI731" s="775"/>
      <c r="AJ731" s="775"/>
      <c r="AK731" s="775"/>
      <c r="AL731" s="775"/>
      <c r="AM731" s="775"/>
      <c r="AN731" s="775"/>
      <c r="AO731" s="775"/>
      <c r="AP731" s="775"/>
    </row>
    <row r="732" spans="1:42" s="141" customFormat="1" ht="21" customHeight="1">
      <c r="A732" s="848"/>
      <c r="B732" s="848"/>
      <c r="C732" s="848"/>
      <c r="D732" s="848"/>
      <c r="E732" s="848"/>
      <c r="F732" s="859"/>
      <c r="G732" s="851"/>
      <c r="H732" s="852"/>
      <c r="I732" s="547" t="s">
        <v>1613</v>
      </c>
      <c r="J732" s="658">
        <f>VLOOKUP($I732,Prices!A:B,2,0)</f>
        <v>2</v>
      </c>
      <c r="K732" s="790">
        <f>VLOOKUP(I732,Prices!A:C,3,0)</f>
        <v>0</v>
      </c>
      <c r="L732" s="640">
        <v>1200</v>
      </c>
      <c r="M732" s="640" t="s">
        <v>194</v>
      </c>
      <c r="N732" s="647">
        <f>VLOOKUP($I732,Prices!A:D,4,0)</f>
        <v>2250</v>
      </c>
      <c r="O732" s="769">
        <f t="shared" si="51"/>
        <v>2700000</v>
      </c>
      <c r="P732" s="793" t="s">
        <v>194</v>
      </c>
      <c r="Q732" s="851"/>
      <c r="R732" s="851"/>
      <c r="S732" s="853"/>
      <c r="T732" s="852"/>
      <c r="U732" s="860"/>
      <c r="V732" s="860"/>
      <c r="W732" s="860"/>
      <c r="X732" s="861"/>
      <c r="Y732" s="852"/>
      <c r="Z732" s="852"/>
      <c r="AA732" s="774"/>
      <c r="AB732" s="820" t="s">
        <v>21</v>
      </c>
      <c r="AC732" s="775"/>
      <c r="AD732" s="775"/>
      <c r="AE732" s="775"/>
      <c r="AF732" s="775"/>
      <c r="AG732" s="775"/>
      <c r="AH732" s="775"/>
      <c r="AI732" s="775"/>
      <c r="AJ732" s="775"/>
      <c r="AK732" s="775"/>
      <c r="AL732" s="775"/>
      <c r="AM732" s="775"/>
      <c r="AN732" s="775"/>
      <c r="AO732" s="775"/>
      <c r="AP732" s="775"/>
    </row>
    <row r="733" spans="1:42" s="141" customFormat="1" ht="18.75" customHeight="1">
      <c r="A733" s="848"/>
      <c r="B733" s="848"/>
      <c r="C733" s="848"/>
      <c r="D733" s="848"/>
      <c r="E733" s="848"/>
      <c r="F733" s="859"/>
      <c r="G733" s="851"/>
      <c r="H733" s="852"/>
      <c r="I733" s="547" t="s">
        <v>1880</v>
      </c>
      <c r="J733" s="658">
        <f>VLOOKUP($I733,Prices!A:B,2,0)</f>
        <v>2</v>
      </c>
      <c r="K733" s="790">
        <f>VLOOKUP(I733,Prices!A:C,3,0)</f>
        <v>0</v>
      </c>
      <c r="L733" s="640">
        <v>2000</v>
      </c>
      <c r="M733" s="640" t="s">
        <v>194</v>
      </c>
      <c r="N733" s="647">
        <f>VLOOKUP($I733,Prices!A:D,4,0)</f>
        <v>5300</v>
      </c>
      <c r="O733" s="769">
        <f t="shared" si="51"/>
        <v>10600000</v>
      </c>
      <c r="P733" s="793" t="s">
        <v>194</v>
      </c>
      <c r="Q733" s="851"/>
      <c r="R733" s="851"/>
      <c r="S733" s="853"/>
      <c r="T733" s="852"/>
      <c r="U733" s="860"/>
      <c r="V733" s="860"/>
      <c r="W733" s="860"/>
      <c r="X733" s="861"/>
      <c r="Y733" s="852"/>
      <c r="Z733" s="852"/>
      <c r="AA733" s="774"/>
      <c r="AB733" s="820" t="s">
        <v>21</v>
      </c>
      <c r="AC733" s="775"/>
      <c r="AD733" s="775"/>
      <c r="AE733" s="775"/>
      <c r="AF733" s="775"/>
      <c r="AG733" s="775"/>
      <c r="AH733" s="775"/>
      <c r="AI733" s="775"/>
      <c r="AJ733" s="775"/>
      <c r="AK733" s="775"/>
      <c r="AL733" s="775"/>
      <c r="AM733" s="775"/>
      <c r="AN733" s="775"/>
      <c r="AO733" s="775"/>
      <c r="AP733" s="775"/>
    </row>
    <row r="734" spans="1:42" s="141" customFormat="1" ht="18" customHeight="1">
      <c r="A734" s="848"/>
      <c r="B734" s="848"/>
      <c r="C734" s="848"/>
      <c r="D734" s="848"/>
      <c r="E734" s="848"/>
      <c r="F734" s="859"/>
      <c r="G734" s="851"/>
      <c r="H734" s="852"/>
      <c r="I734" s="547" t="s">
        <v>1964</v>
      </c>
      <c r="J734" s="658">
        <f>VLOOKUP($I734,Prices!A:B,2,0)</f>
        <v>4</v>
      </c>
      <c r="K734" s="790">
        <f>VLOOKUP(I734,Prices!A:C,3,0)</f>
        <v>0</v>
      </c>
      <c r="L734" s="640">
        <v>18</v>
      </c>
      <c r="M734" s="640" t="s">
        <v>194</v>
      </c>
      <c r="N734" s="647">
        <f>VLOOKUP($I734,Prices!A:D,4,0)</f>
        <v>20000000</v>
      </c>
      <c r="O734" s="769">
        <f t="shared" si="51"/>
        <v>360000000</v>
      </c>
      <c r="P734" s="793" t="s">
        <v>194</v>
      </c>
      <c r="Q734" s="851"/>
      <c r="R734" s="851"/>
      <c r="S734" s="853"/>
      <c r="T734" s="852"/>
      <c r="U734" s="860"/>
      <c r="V734" s="860"/>
      <c r="W734" s="860"/>
      <c r="X734" s="861"/>
      <c r="Y734" s="852"/>
      <c r="Z734" s="852"/>
      <c r="AA734" s="774"/>
      <c r="AB734" s="820" t="s">
        <v>21</v>
      </c>
      <c r="AC734" s="775"/>
      <c r="AD734" s="775"/>
      <c r="AE734" s="775"/>
      <c r="AF734" s="775"/>
      <c r="AG734" s="775"/>
      <c r="AH734" s="775"/>
      <c r="AI734" s="775"/>
      <c r="AJ734" s="775"/>
      <c r="AK734" s="775"/>
      <c r="AL734" s="775"/>
      <c r="AM734" s="775"/>
      <c r="AN734" s="775"/>
      <c r="AO734" s="775"/>
      <c r="AP734" s="775"/>
    </row>
    <row r="735" spans="1:42" s="141" customFormat="1" ht="17.25" customHeight="1">
      <c r="A735" s="848"/>
      <c r="B735" s="848"/>
      <c r="C735" s="848"/>
      <c r="D735" s="848"/>
      <c r="E735" s="848"/>
      <c r="F735" s="859"/>
      <c r="G735" s="851"/>
      <c r="H735" s="852"/>
      <c r="I735" s="547" t="s">
        <v>1954</v>
      </c>
      <c r="J735" s="658">
        <f>VLOOKUP($I735,Prices!A:B,2,0)</f>
        <v>1</v>
      </c>
      <c r="K735" s="790">
        <f>VLOOKUP(I735,Prices!A:C,3,0)</f>
        <v>0</v>
      </c>
      <c r="L735" s="640" t="s">
        <v>224</v>
      </c>
      <c r="M735" s="640" t="s">
        <v>194</v>
      </c>
      <c r="N735" s="647" t="str">
        <f>VLOOKUP($I735,Prices!A:D,4,0)</f>
        <v>.</v>
      </c>
      <c r="O735" s="769" t="s">
        <v>194</v>
      </c>
      <c r="P735" s="793" t="s">
        <v>194</v>
      </c>
      <c r="Q735" s="851"/>
      <c r="R735" s="851"/>
      <c r="S735" s="853"/>
      <c r="T735" s="852"/>
      <c r="U735" s="860"/>
      <c r="V735" s="860"/>
      <c r="W735" s="860"/>
      <c r="X735" s="861"/>
      <c r="Y735" s="852"/>
      <c r="Z735" s="852"/>
      <c r="AA735" s="774"/>
      <c r="AB735" s="820" t="s">
        <v>21</v>
      </c>
      <c r="AC735" s="775"/>
      <c r="AD735" s="775"/>
      <c r="AE735" s="775"/>
      <c r="AF735" s="775"/>
      <c r="AG735" s="775"/>
      <c r="AH735" s="775"/>
      <c r="AI735" s="775"/>
      <c r="AJ735" s="775"/>
      <c r="AK735" s="775"/>
      <c r="AL735" s="775"/>
      <c r="AM735" s="775"/>
      <c r="AN735" s="775"/>
      <c r="AO735" s="775"/>
      <c r="AP735" s="775"/>
    </row>
    <row r="736" spans="1:42" s="717" customFormat="1" ht="64.5" customHeight="1">
      <c r="A736" s="848"/>
      <c r="B736" s="848"/>
      <c r="C736" s="751">
        <v>44743</v>
      </c>
      <c r="D736" s="848"/>
      <c r="E736" s="750" t="s">
        <v>320</v>
      </c>
      <c r="F736" s="789" t="s">
        <v>1965</v>
      </c>
      <c r="G736" s="753">
        <v>50000000</v>
      </c>
      <c r="H736" s="754" t="s">
        <v>260</v>
      </c>
      <c r="I736" s="547" t="s">
        <v>1959</v>
      </c>
      <c r="J736" s="658">
        <f>VLOOKUP($I736,Prices!A:B,2,0)</f>
        <v>4.5</v>
      </c>
      <c r="K736" s="790">
        <f>VLOOKUP(I736,Prices!A:C,3,0)</f>
        <v>0</v>
      </c>
      <c r="L736" s="640" t="s">
        <v>224</v>
      </c>
      <c r="M736" s="640" t="s">
        <v>194</v>
      </c>
      <c r="N736" s="647" t="s">
        <v>194</v>
      </c>
      <c r="O736" s="769" t="s">
        <v>194</v>
      </c>
      <c r="P736" s="793" t="s">
        <v>194</v>
      </c>
      <c r="Q736" s="851"/>
      <c r="R736" s="851"/>
      <c r="S736" s="853"/>
      <c r="T736" s="754" t="s">
        <v>195</v>
      </c>
      <c r="U736" s="756" t="s">
        <v>1966</v>
      </c>
      <c r="V736" s="797"/>
      <c r="W736" s="797"/>
      <c r="X736" s="819"/>
      <c r="Y736" s="754">
        <v>0</v>
      </c>
      <c r="Z736" s="754">
        <v>1</v>
      </c>
      <c r="AA736" s="774"/>
      <c r="AB736" s="820"/>
      <c r="AC736" s="775"/>
      <c r="AD736" s="775"/>
      <c r="AE736" s="775"/>
      <c r="AF736" s="775"/>
      <c r="AG736" s="775"/>
      <c r="AH736" s="775"/>
      <c r="AI736" s="775"/>
      <c r="AJ736" s="775"/>
      <c r="AK736" s="775"/>
      <c r="AL736" s="775"/>
      <c r="AM736" s="775"/>
      <c r="AN736" s="775"/>
      <c r="AO736" s="775"/>
      <c r="AP736" s="775"/>
    </row>
    <row r="737" spans="1:42" s="141" customFormat="1" ht="20.25" customHeight="1">
      <c r="A737" s="848" t="s">
        <v>1967</v>
      </c>
      <c r="B737" s="848" t="s">
        <v>1837</v>
      </c>
      <c r="C737" s="849">
        <v>44652</v>
      </c>
      <c r="D737" s="848" t="s">
        <v>212</v>
      </c>
      <c r="E737" s="848" t="s">
        <v>213</v>
      </c>
      <c r="F737" s="850" t="s">
        <v>1968</v>
      </c>
      <c r="G737" s="851">
        <v>300000000</v>
      </c>
      <c r="H737" s="852" t="s">
        <v>260</v>
      </c>
      <c r="I737" s="547" t="s">
        <v>1969</v>
      </c>
      <c r="J737" s="658">
        <f>VLOOKUP($I737,Prices!A:B,2,0)</f>
        <v>3</v>
      </c>
      <c r="K737" s="790">
        <f>VLOOKUP(I737,Prices!A:C,3,0)</f>
        <v>0</v>
      </c>
      <c r="L737" s="640" t="s">
        <v>224</v>
      </c>
      <c r="M737" s="640" t="s">
        <v>21</v>
      </c>
      <c r="N737" s="647">
        <f>VLOOKUP($I737,Prices!A:D,4,0)</f>
        <v>22000</v>
      </c>
      <c r="O737" s="769" t="s">
        <v>194</v>
      </c>
      <c r="P737" s="793" t="s">
        <v>194</v>
      </c>
      <c r="Q737" s="851">
        <v>6000000000</v>
      </c>
      <c r="R737" s="851">
        <v>5647590361</v>
      </c>
      <c r="S737" s="853">
        <f>SUM(P737:P758)/VLOOKUP(H737,'Currency Conversion'!B:C,2,0)</f>
        <v>3409090.9090909087</v>
      </c>
      <c r="T737" s="852" t="s">
        <v>195</v>
      </c>
      <c r="U737" s="854" t="s">
        <v>1970</v>
      </c>
      <c r="V737" s="854" t="s">
        <v>1971</v>
      </c>
      <c r="W737" s="854" t="s">
        <v>1884</v>
      </c>
      <c r="X737" s="862" t="s">
        <v>194</v>
      </c>
      <c r="Y737" s="852">
        <v>0</v>
      </c>
      <c r="Z737" s="852">
        <v>0</v>
      </c>
      <c r="AA737" s="774" t="s">
        <v>21</v>
      </c>
      <c r="AB737" s="820" t="s">
        <v>21</v>
      </c>
      <c r="AC737" s="820" t="s">
        <v>21</v>
      </c>
      <c r="AD737" s="820" t="s">
        <v>21</v>
      </c>
      <c r="AE737" s="820" t="s">
        <v>21</v>
      </c>
      <c r="AF737" s="820" t="s">
        <v>21</v>
      </c>
      <c r="AG737" s="820" t="s">
        <v>21</v>
      </c>
      <c r="AH737" s="820" t="s">
        <v>21</v>
      </c>
      <c r="AI737" s="820" t="s">
        <v>21</v>
      </c>
      <c r="AJ737" s="820" t="s">
        <v>21</v>
      </c>
      <c r="AK737" s="820" t="s">
        <v>21</v>
      </c>
      <c r="AL737" s="820" t="s">
        <v>21</v>
      </c>
      <c r="AM737" s="820" t="s">
        <v>21</v>
      </c>
      <c r="AN737" s="820" t="s">
        <v>21</v>
      </c>
      <c r="AO737" s="820" t="s">
        <v>21</v>
      </c>
      <c r="AP737" s="820" t="s">
        <v>21</v>
      </c>
    </row>
    <row r="738" spans="1:42" s="141" customFormat="1" ht="16.5" customHeight="1">
      <c r="A738" s="848"/>
      <c r="B738" s="848"/>
      <c r="C738" s="848"/>
      <c r="D738" s="848"/>
      <c r="E738" s="848"/>
      <c r="F738" s="850"/>
      <c r="G738" s="851"/>
      <c r="H738" s="852"/>
      <c r="I738" s="547" t="s">
        <v>1972</v>
      </c>
      <c r="J738" s="658">
        <f>VLOOKUP($I738,Prices!A:B,2,0)</f>
        <v>5</v>
      </c>
      <c r="K738" s="790">
        <f>VLOOKUP(I738,Prices!A:C,3,0)</f>
        <v>0</v>
      </c>
      <c r="L738" s="640">
        <v>600</v>
      </c>
      <c r="M738" s="640">
        <v>600</v>
      </c>
      <c r="N738" s="647">
        <f>VLOOKUP($I738,Prices!A:D,4,0)</f>
        <v>6000</v>
      </c>
      <c r="O738" s="769">
        <f t="shared" si="51"/>
        <v>3600000</v>
      </c>
      <c r="P738" s="793">
        <f t="shared" si="50"/>
        <v>3600000</v>
      </c>
      <c r="Q738" s="851"/>
      <c r="R738" s="851"/>
      <c r="S738" s="853"/>
      <c r="T738" s="852"/>
      <c r="U738" s="855"/>
      <c r="V738" s="855"/>
      <c r="W738" s="855"/>
      <c r="X738" s="862"/>
      <c r="Y738" s="852"/>
      <c r="Z738" s="852"/>
      <c r="AA738" s="782" t="s">
        <v>1890</v>
      </c>
      <c r="AB738" s="820" t="s">
        <v>21</v>
      </c>
      <c r="AC738" s="820" t="s">
        <v>21</v>
      </c>
      <c r="AD738" s="820" t="s">
        <v>21</v>
      </c>
      <c r="AE738" s="820" t="s">
        <v>21</v>
      </c>
      <c r="AF738" s="820" t="s">
        <v>21</v>
      </c>
      <c r="AG738" s="820" t="s">
        <v>21</v>
      </c>
      <c r="AH738" s="820" t="s">
        <v>21</v>
      </c>
      <c r="AI738" s="820" t="s">
        <v>21</v>
      </c>
      <c r="AJ738" s="820" t="s">
        <v>21</v>
      </c>
      <c r="AK738" s="820" t="s">
        <v>21</v>
      </c>
      <c r="AL738" s="820" t="s">
        <v>21</v>
      </c>
      <c r="AM738" s="820" t="s">
        <v>21</v>
      </c>
      <c r="AN738" s="820" t="s">
        <v>21</v>
      </c>
      <c r="AO738" s="820" t="s">
        <v>21</v>
      </c>
      <c r="AP738" s="820" t="s">
        <v>21</v>
      </c>
    </row>
    <row r="739" spans="1:42" s="141" customFormat="1" ht="17.25" customHeight="1">
      <c r="A739" s="848"/>
      <c r="B739" s="848"/>
      <c r="C739" s="848"/>
      <c r="D739" s="848"/>
      <c r="E739" s="848"/>
      <c r="F739" s="850"/>
      <c r="G739" s="851"/>
      <c r="H739" s="852"/>
      <c r="I739" s="547" t="s">
        <v>1973</v>
      </c>
      <c r="J739" s="658">
        <f>VLOOKUP($I739,Prices!A:B,2,0)</f>
        <v>5</v>
      </c>
      <c r="K739" s="790">
        <f>VLOOKUP(I739,Prices!A:C,3,0)</f>
        <v>0</v>
      </c>
      <c r="L739" s="640" t="s">
        <v>224</v>
      </c>
      <c r="M739" s="640" t="s">
        <v>224</v>
      </c>
      <c r="N739" s="647">
        <f>VLOOKUP($I739,Prices!A:D,4,0)</f>
        <v>250000</v>
      </c>
      <c r="O739" s="769" t="s">
        <v>194</v>
      </c>
      <c r="P739" s="793" t="s">
        <v>194</v>
      </c>
      <c r="Q739" s="851"/>
      <c r="R739" s="851"/>
      <c r="S739" s="853"/>
      <c r="T739" s="852"/>
      <c r="U739" s="855"/>
      <c r="V739" s="855"/>
      <c r="W739" s="855"/>
      <c r="X739" s="862"/>
      <c r="Y739" s="852"/>
      <c r="Z739" s="852"/>
      <c r="AA739" s="782" t="s">
        <v>1974</v>
      </c>
      <c r="AB739" s="820" t="s">
        <v>21</v>
      </c>
      <c r="AC739" s="820" t="s">
        <v>21</v>
      </c>
      <c r="AD739" s="820" t="s">
        <v>21</v>
      </c>
      <c r="AE739" s="820" t="s">
        <v>21</v>
      </c>
      <c r="AF739" s="820" t="s">
        <v>21</v>
      </c>
      <c r="AG739" s="820" t="s">
        <v>21</v>
      </c>
      <c r="AH739" s="820" t="s">
        <v>21</v>
      </c>
      <c r="AI739" s="820" t="s">
        <v>21</v>
      </c>
      <c r="AJ739" s="820" t="s">
        <v>21</v>
      </c>
      <c r="AK739" s="820" t="s">
        <v>21</v>
      </c>
      <c r="AL739" s="820" t="s">
        <v>21</v>
      </c>
      <c r="AM739" s="820" t="s">
        <v>21</v>
      </c>
      <c r="AN739" s="820" t="s">
        <v>21</v>
      </c>
      <c r="AO739" s="820" t="s">
        <v>21</v>
      </c>
      <c r="AP739" s="820" t="s">
        <v>21</v>
      </c>
    </row>
    <row r="740" spans="1:42" s="141" customFormat="1" ht="15.75" customHeight="1">
      <c r="A740" s="848"/>
      <c r="B740" s="848"/>
      <c r="C740" s="848"/>
      <c r="D740" s="848"/>
      <c r="E740" s="848"/>
      <c r="F740" s="850"/>
      <c r="G740" s="851"/>
      <c r="H740" s="852"/>
      <c r="I740" s="547" t="s">
        <v>1975</v>
      </c>
      <c r="J740" s="658">
        <f>VLOOKUP($I740,Prices!A:B,2,0)</f>
        <v>5</v>
      </c>
      <c r="K740" s="790">
        <f>VLOOKUP(I740,Prices!A:C,3,0)</f>
        <v>0</v>
      </c>
      <c r="L740" s="640" t="s">
        <v>224</v>
      </c>
      <c r="M740" s="640" t="s">
        <v>224</v>
      </c>
      <c r="N740" s="647">
        <f>VLOOKUP($I740,Prices!A:D,4,0)</f>
        <v>15000000</v>
      </c>
      <c r="O740" s="769" t="s">
        <v>194</v>
      </c>
      <c r="P740" s="793" t="s">
        <v>194</v>
      </c>
      <c r="Q740" s="851"/>
      <c r="R740" s="851"/>
      <c r="S740" s="853"/>
      <c r="T740" s="852"/>
      <c r="U740" s="855"/>
      <c r="V740" s="855"/>
      <c r="W740" s="855"/>
      <c r="X740" s="862"/>
      <c r="Y740" s="852"/>
      <c r="Z740" s="852"/>
      <c r="AA740" s="782" t="s">
        <v>1976</v>
      </c>
      <c r="AB740" s="820" t="s">
        <v>21</v>
      </c>
      <c r="AC740" s="820" t="s">
        <v>21</v>
      </c>
      <c r="AD740" s="820" t="s">
        <v>21</v>
      </c>
      <c r="AE740" s="820" t="s">
        <v>21</v>
      </c>
      <c r="AF740" s="820" t="s">
        <v>21</v>
      </c>
      <c r="AG740" s="820" t="s">
        <v>21</v>
      </c>
      <c r="AH740" s="820" t="s">
        <v>21</v>
      </c>
      <c r="AI740" s="820" t="s">
        <v>21</v>
      </c>
      <c r="AJ740" s="820" t="s">
        <v>21</v>
      </c>
      <c r="AK740" s="820" t="s">
        <v>21</v>
      </c>
      <c r="AL740" s="820" t="s">
        <v>21</v>
      </c>
      <c r="AM740" s="820" t="s">
        <v>21</v>
      </c>
      <c r="AN740" s="820" t="s">
        <v>21</v>
      </c>
      <c r="AO740" s="820" t="s">
        <v>21</v>
      </c>
      <c r="AP740" s="820" t="s">
        <v>21</v>
      </c>
    </row>
    <row r="741" spans="1:42" s="141" customFormat="1" ht="19.5" customHeight="1">
      <c r="A741" s="848"/>
      <c r="B741" s="848"/>
      <c r="C741" s="848"/>
      <c r="D741" s="848"/>
      <c r="E741" s="848"/>
      <c r="F741" s="850"/>
      <c r="G741" s="851"/>
      <c r="H741" s="852"/>
      <c r="I741" s="547" t="s">
        <v>1893</v>
      </c>
      <c r="J741" s="658">
        <f>VLOOKUP($I741,Prices!A:B,2,0)</f>
        <v>4</v>
      </c>
      <c r="K741" s="790">
        <f>VLOOKUP(I741,Prices!A:C,3,0)</f>
        <v>0</v>
      </c>
      <c r="L741" s="640" t="s">
        <v>224</v>
      </c>
      <c r="M741" s="640" t="s">
        <v>21</v>
      </c>
      <c r="N741" s="647">
        <f>VLOOKUP($I741,Prices!A:D,4,0)</f>
        <v>52393</v>
      </c>
      <c r="O741" s="769" t="s">
        <v>194</v>
      </c>
      <c r="P741" s="793" t="s">
        <v>194</v>
      </c>
      <c r="Q741" s="851"/>
      <c r="R741" s="851"/>
      <c r="S741" s="853"/>
      <c r="T741" s="852"/>
      <c r="U741" s="855"/>
      <c r="V741" s="855"/>
      <c r="W741" s="855"/>
      <c r="X741" s="862"/>
      <c r="Y741" s="852"/>
      <c r="Z741" s="852"/>
      <c r="AA741" s="774" t="s">
        <v>21</v>
      </c>
      <c r="AB741" s="820" t="s">
        <v>21</v>
      </c>
      <c r="AC741" s="820" t="s">
        <v>21</v>
      </c>
      <c r="AD741" s="820" t="s">
        <v>21</v>
      </c>
      <c r="AE741" s="820" t="s">
        <v>21</v>
      </c>
      <c r="AF741" s="820" t="s">
        <v>21</v>
      </c>
      <c r="AG741" s="820" t="s">
        <v>21</v>
      </c>
      <c r="AH741" s="820" t="s">
        <v>21</v>
      </c>
      <c r="AI741" s="820" t="s">
        <v>21</v>
      </c>
      <c r="AJ741" s="820" t="s">
        <v>21</v>
      </c>
      <c r="AK741" s="820" t="s">
        <v>21</v>
      </c>
      <c r="AL741" s="820" t="s">
        <v>21</v>
      </c>
      <c r="AM741" s="820" t="s">
        <v>21</v>
      </c>
      <c r="AN741" s="820" t="s">
        <v>21</v>
      </c>
      <c r="AO741" s="820" t="s">
        <v>21</v>
      </c>
      <c r="AP741" s="820" t="s">
        <v>21</v>
      </c>
    </row>
    <row r="742" spans="1:42" s="141" customFormat="1" ht="15" customHeight="1">
      <c r="A742" s="848"/>
      <c r="B742" s="848"/>
      <c r="C742" s="848"/>
      <c r="D742" s="848"/>
      <c r="E742" s="848"/>
      <c r="F742" s="850"/>
      <c r="G742" s="851"/>
      <c r="H742" s="852"/>
      <c r="I742" s="547" t="s">
        <v>1977</v>
      </c>
      <c r="J742" s="658">
        <f>VLOOKUP($I742,Prices!A:B,2,0)</f>
        <v>2.5</v>
      </c>
      <c r="K742" s="790">
        <f>VLOOKUP(I742,Prices!A:C,3,0)</f>
        <v>0</v>
      </c>
      <c r="L742" s="640" t="s">
        <v>224</v>
      </c>
      <c r="M742" s="640" t="s">
        <v>21</v>
      </c>
      <c r="N742" s="647" t="str">
        <f>VLOOKUP($I742,Prices!A:D,4,0)</f>
        <v>.</v>
      </c>
      <c r="O742" s="769" t="s">
        <v>194</v>
      </c>
      <c r="P742" s="793" t="s">
        <v>194</v>
      </c>
      <c r="Q742" s="851"/>
      <c r="R742" s="851"/>
      <c r="S742" s="853"/>
      <c r="T742" s="852"/>
      <c r="U742" s="855"/>
      <c r="V742" s="855"/>
      <c r="W742" s="855"/>
      <c r="X742" s="862"/>
      <c r="Y742" s="852"/>
      <c r="Z742" s="852"/>
      <c r="AA742" s="774" t="s">
        <v>21</v>
      </c>
      <c r="AB742" s="820" t="s">
        <v>21</v>
      </c>
      <c r="AC742" s="820" t="s">
        <v>21</v>
      </c>
      <c r="AD742" s="820" t="s">
        <v>21</v>
      </c>
      <c r="AE742" s="820" t="s">
        <v>21</v>
      </c>
      <c r="AF742" s="820" t="s">
        <v>21</v>
      </c>
      <c r="AG742" s="820" t="s">
        <v>21</v>
      </c>
      <c r="AH742" s="820" t="s">
        <v>21</v>
      </c>
      <c r="AI742" s="820" t="s">
        <v>21</v>
      </c>
      <c r="AJ742" s="820" t="s">
        <v>21</v>
      </c>
      <c r="AK742" s="820" t="s">
        <v>21</v>
      </c>
      <c r="AL742" s="820" t="s">
        <v>21</v>
      </c>
      <c r="AM742" s="820" t="s">
        <v>21</v>
      </c>
      <c r="AN742" s="820" t="s">
        <v>21</v>
      </c>
      <c r="AO742" s="820" t="s">
        <v>21</v>
      </c>
      <c r="AP742" s="820" t="s">
        <v>21</v>
      </c>
    </row>
    <row r="743" spans="1:42" s="141" customFormat="1" ht="19.5" customHeight="1">
      <c r="A743" s="848"/>
      <c r="B743" s="848"/>
      <c r="C743" s="848"/>
      <c r="D743" s="848"/>
      <c r="E743" s="848"/>
      <c r="F743" s="850"/>
      <c r="G743" s="851"/>
      <c r="H743" s="852"/>
      <c r="I743" s="547" t="s">
        <v>412</v>
      </c>
      <c r="J743" s="658">
        <f>VLOOKUP($I743,Prices!A:B,2,0)</f>
        <v>1</v>
      </c>
      <c r="K743" s="790">
        <f>VLOOKUP(I743,Prices!A:C,3,0)</f>
        <v>0</v>
      </c>
      <c r="L743" s="640" t="s">
        <v>224</v>
      </c>
      <c r="M743" s="640" t="s">
        <v>21</v>
      </c>
      <c r="N743" s="647">
        <f>VLOOKUP($I743,Prices!A:D,4,0)</f>
        <v>7600</v>
      </c>
      <c r="O743" s="769" t="s">
        <v>194</v>
      </c>
      <c r="P743" s="793" t="s">
        <v>194</v>
      </c>
      <c r="Q743" s="851"/>
      <c r="R743" s="851"/>
      <c r="S743" s="853"/>
      <c r="T743" s="852"/>
      <c r="U743" s="855"/>
      <c r="V743" s="855"/>
      <c r="W743" s="855"/>
      <c r="X743" s="862"/>
      <c r="Y743" s="852"/>
      <c r="Z743" s="852"/>
      <c r="AA743" s="774" t="s">
        <v>21</v>
      </c>
      <c r="AB743" s="820" t="s">
        <v>21</v>
      </c>
      <c r="AC743" s="820" t="s">
        <v>21</v>
      </c>
      <c r="AD743" s="820" t="s">
        <v>21</v>
      </c>
      <c r="AE743" s="820" t="s">
        <v>21</v>
      </c>
      <c r="AF743" s="820" t="s">
        <v>21</v>
      </c>
      <c r="AG743" s="820" t="s">
        <v>21</v>
      </c>
      <c r="AH743" s="820" t="s">
        <v>21</v>
      </c>
      <c r="AI743" s="820" t="s">
        <v>21</v>
      </c>
      <c r="AJ743" s="820" t="s">
        <v>21</v>
      </c>
      <c r="AK743" s="820" t="s">
        <v>21</v>
      </c>
      <c r="AL743" s="820" t="s">
        <v>21</v>
      </c>
      <c r="AM743" s="820" t="s">
        <v>21</v>
      </c>
      <c r="AN743" s="820" t="s">
        <v>21</v>
      </c>
      <c r="AO743" s="820" t="s">
        <v>21</v>
      </c>
      <c r="AP743" s="820" t="s">
        <v>21</v>
      </c>
    </row>
    <row r="744" spans="1:42" s="141" customFormat="1" ht="19.5" customHeight="1">
      <c r="A744" s="848"/>
      <c r="B744" s="848"/>
      <c r="C744" s="848"/>
      <c r="D744" s="848"/>
      <c r="E744" s="848"/>
      <c r="F744" s="850"/>
      <c r="G744" s="851"/>
      <c r="H744" s="852"/>
      <c r="I744" s="547" t="s">
        <v>686</v>
      </c>
      <c r="J744" s="658">
        <f>VLOOKUP($I744,Prices!A:B,2,0)</f>
        <v>1</v>
      </c>
      <c r="K744" s="790">
        <f>VLOOKUP(I744,Prices!A:C,3,0)</f>
        <v>0</v>
      </c>
      <c r="L744" s="640" t="s">
        <v>224</v>
      </c>
      <c r="M744" s="640" t="s">
        <v>21</v>
      </c>
      <c r="N744" s="647">
        <f>VLOOKUP($I744,Prices!A:D,4,0)</f>
        <v>5000</v>
      </c>
      <c r="O744" s="769" t="s">
        <v>194</v>
      </c>
      <c r="P744" s="793" t="s">
        <v>194</v>
      </c>
      <c r="Q744" s="851"/>
      <c r="R744" s="851"/>
      <c r="S744" s="853"/>
      <c r="T744" s="852"/>
      <c r="U744" s="855"/>
      <c r="V744" s="855"/>
      <c r="W744" s="855"/>
      <c r="X744" s="862"/>
      <c r="Y744" s="852"/>
      <c r="Z744" s="852"/>
      <c r="AA744" s="774" t="s">
        <v>21</v>
      </c>
      <c r="AB744" s="820" t="s">
        <v>21</v>
      </c>
      <c r="AC744" s="820" t="s">
        <v>21</v>
      </c>
      <c r="AD744" s="820" t="s">
        <v>21</v>
      </c>
      <c r="AE744" s="820" t="s">
        <v>21</v>
      </c>
      <c r="AF744" s="820" t="s">
        <v>21</v>
      </c>
      <c r="AG744" s="820" t="s">
        <v>21</v>
      </c>
      <c r="AH744" s="820" t="s">
        <v>21</v>
      </c>
      <c r="AI744" s="820" t="s">
        <v>21</v>
      </c>
      <c r="AJ744" s="820" t="s">
        <v>21</v>
      </c>
      <c r="AK744" s="820" t="s">
        <v>21</v>
      </c>
      <c r="AL744" s="820" t="s">
        <v>21</v>
      </c>
      <c r="AM744" s="820" t="s">
        <v>21</v>
      </c>
      <c r="AN744" s="820" t="s">
        <v>21</v>
      </c>
      <c r="AO744" s="820" t="s">
        <v>21</v>
      </c>
      <c r="AP744" s="820" t="s">
        <v>21</v>
      </c>
    </row>
    <row r="745" spans="1:42" s="141" customFormat="1" ht="17.25" customHeight="1">
      <c r="A745" s="848"/>
      <c r="B745" s="848"/>
      <c r="C745" s="848"/>
      <c r="D745" s="848"/>
      <c r="E745" s="848"/>
      <c r="F745" s="850"/>
      <c r="G745" s="851"/>
      <c r="H745" s="852"/>
      <c r="I745" s="547" t="s">
        <v>1897</v>
      </c>
      <c r="J745" s="658">
        <f>VLOOKUP($I745,Prices!A:B,2,0)</f>
        <v>1</v>
      </c>
      <c r="K745" s="790">
        <f>VLOOKUP(I745,Prices!A:C,3,0)</f>
        <v>0</v>
      </c>
      <c r="L745" s="640" t="s">
        <v>224</v>
      </c>
      <c r="M745" s="640" t="s">
        <v>21</v>
      </c>
      <c r="N745" s="647" t="str">
        <f>VLOOKUP($I745,Prices!A:D,4,0)</f>
        <v>.</v>
      </c>
      <c r="O745" s="769" t="s">
        <v>194</v>
      </c>
      <c r="P745" s="793" t="s">
        <v>194</v>
      </c>
      <c r="Q745" s="851"/>
      <c r="R745" s="851"/>
      <c r="S745" s="853"/>
      <c r="T745" s="852"/>
      <c r="U745" s="855"/>
      <c r="V745" s="855"/>
      <c r="W745" s="855"/>
      <c r="X745" s="862"/>
      <c r="Y745" s="852"/>
      <c r="Z745" s="852"/>
      <c r="AA745" s="774" t="s">
        <v>21</v>
      </c>
      <c r="AB745" s="820" t="s">
        <v>21</v>
      </c>
      <c r="AC745" s="820" t="s">
        <v>21</v>
      </c>
      <c r="AD745" s="820" t="s">
        <v>21</v>
      </c>
      <c r="AE745" s="820" t="s">
        <v>21</v>
      </c>
      <c r="AF745" s="820" t="s">
        <v>21</v>
      </c>
      <c r="AG745" s="820" t="s">
        <v>21</v>
      </c>
      <c r="AH745" s="820" t="s">
        <v>21</v>
      </c>
      <c r="AI745" s="820" t="s">
        <v>21</v>
      </c>
      <c r="AJ745" s="820" t="s">
        <v>21</v>
      </c>
      <c r="AK745" s="820" t="s">
        <v>21</v>
      </c>
      <c r="AL745" s="820" t="s">
        <v>21</v>
      </c>
      <c r="AM745" s="820" t="s">
        <v>21</v>
      </c>
      <c r="AN745" s="820" t="s">
        <v>21</v>
      </c>
      <c r="AO745" s="820" t="s">
        <v>21</v>
      </c>
      <c r="AP745" s="820" t="s">
        <v>21</v>
      </c>
    </row>
    <row r="746" spans="1:42" s="141" customFormat="1" ht="15" customHeight="1">
      <c r="A746" s="848"/>
      <c r="B746" s="848"/>
      <c r="C746" s="848"/>
      <c r="D746" s="848"/>
      <c r="E746" s="848"/>
      <c r="F746" s="850"/>
      <c r="G746" s="851"/>
      <c r="H746" s="852"/>
      <c r="I746" s="547" t="s">
        <v>1978</v>
      </c>
      <c r="J746" s="658">
        <f>VLOOKUP($I746,Prices!A:B,2,0)</f>
        <v>1</v>
      </c>
      <c r="K746" s="790">
        <f>VLOOKUP(I746,Prices!A:C,3,0)</f>
        <v>0</v>
      </c>
      <c r="L746" s="640" t="s">
        <v>224</v>
      </c>
      <c r="M746" s="640" t="s">
        <v>21</v>
      </c>
      <c r="N746" s="647" t="str">
        <f>VLOOKUP($I746,Prices!A:D,4,0)</f>
        <v>.</v>
      </c>
      <c r="O746" s="769" t="s">
        <v>194</v>
      </c>
      <c r="P746" s="793" t="s">
        <v>194</v>
      </c>
      <c r="Q746" s="851"/>
      <c r="R746" s="851"/>
      <c r="S746" s="853"/>
      <c r="T746" s="852"/>
      <c r="U746" s="855"/>
      <c r="V746" s="855"/>
      <c r="W746" s="855"/>
      <c r="X746" s="862"/>
      <c r="Y746" s="852"/>
      <c r="Z746" s="852"/>
      <c r="AA746" s="774" t="s">
        <v>21</v>
      </c>
      <c r="AB746" s="820" t="s">
        <v>21</v>
      </c>
      <c r="AC746" s="820" t="s">
        <v>21</v>
      </c>
      <c r="AD746" s="820" t="s">
        <v>21</v>
      </c>
      <c r="AE746" s="820" t="s">
        <v>21</v>
      </c>
      <c r="AF746" s="820" t="s">
        <v>21</v>
      </c>
      <c r="AG746" s="820" t="s">
        <v>21</v>
      </c>
      <c r="AH746" s="820" t="s">
        <v>21</v>
      </c>
      <c r="AI746" s="820" t="s">
        <v>21</v>
      </c>
      <c r="AJ746" s="820" t="s">
        <v>21</v>
      </c>
      <c r="AK746" s="820" t="s">
        <v>21</v>
      </c>
      <c r="AL746" s="820" t="s">
        <v>21</v>
      </c>
      <c r="AM746" s="820" t="s">
        <v>21</v>
      </c>
      <c r="AN746" s="820" t="s">
        <v>21</v>
      </c>
      <c r="AO746" s="820" t="s">
        <v>21</v>
      </c>
      <c r="AP746" s="820" t="s">
        <v>21</v>
      </c>
    </row>
    <row r="747" spans="1:42" s="141" customFormat="1" ht="17.25" customHeight="1">
      <c r="A747" s="848"/>
      <c r="B747" s="848"/>
      <c r="C747" s="848"/>
      <c r="D747" s="848"/>
      <c r="E747" s="848"/>
      <c r="F747" s="850"/>
      <c r="G747" s="851"/>
      <c r="H747" s="852"/>
      <c r="I747" s="547" t="s">
        <v>1979</v>
      </c>
      <c r="J747" s="658">
        <f>VLOOKUP($I747,Prices!A:B,2,0)</f>
        <v>2</v>
      </c>
      <c r="K747" s="790">
        <f>VLOOKUP(I747,Prices!A:C,3,0)</f>
        <v>0</v>
      </c>
      <c r="L747" s="640" t="s">
        <v>224</v>
      </c>
      <c r="M747" s="640" t="s">
        <v>21</v>
      </c>
      <c r="N747" s="647">
        <f>VLOOKUP($I747,Prices!A:D,4,0)</f>
        <v>40000</v>
      </c>
      <c r="O747" s="769" t="s">
        <v>194</v>
      </c>
      <c r="P747" s="793" t="s">
        <v>194</v>
      </c>
      <c r="Q747" s="851"/>
      <c r="R747" s="851"/>
      <c r="S747" s="853"/>
      <c r="T747" s="852"/>
      <c r="U747" s="855"/>
      <c r="V747" s="855"/>
      <c r="W747" s="855"/>
      <c r="X747" s="862"/>
      <c r="Y747" s="852"/>
      <c r="Z747" s="852"/>
      <c r="AA747" s="774" t="s">
        <v>21</v>
      </c>
      <c r="AB747" s="820" t="s">
        <v>21</v>
      </c>
      <c r="AC747" s="820" t="s">
        <v>21</v>
      </c>
      <c r="AD747" s="820" t="s">
        <v>21</v>
      </c>
      <c r="AE747" s="820" t="s">
        <v>21</v>
      </c>
      <c r="AF747" s="820" t="s">
        <v>21</v>
      </c>
      <c r="AG747" s="820" t="s">
        <v>21</v>
      </c>
      <c r="AH747" s="820" t="s">
        <v>21</v>
      </c>
      <c r="AI747" s="820" t="s">
        <v>21</v>
      </c>
      <c r="AJ747" s="820" t="s">
        <v>21</v>
      </c>
      <c r="AK747" s="820" t="s">
        <v>21</v>
      </c>
      <c r="AL747" s="820" t="s">
        <v>21</v>
      </c>
      <c r="AM747" s="820" t="s">
        <v>21</v>
      </c>
      <c r="AN747" s="820" t="s">
        <v>21</v>
      </c>
      <c r="AO747" s="820" t="s">
        <v>21</v>
      </c>
      <c r="AP747" s="820" t="s">
        <v>21</v>
      </c>
    </row>
    <row r="748" spans="1:42" s="141" customFormat="1" ht="15" customHeight="1">
      <c r="A748" s="848"/>
      <c r="B748" s="848"/>
      <c r="C748" s="848"/>
      <c r="D748" s="848"/>
      <c r="E748" s="848"/>
      <c r="F748" s="850"/>
      <c r="G748" s="851"/>
      <c r="H748" s="852"/>
      <c r="I748" s="547" t="s">
        <v>1980</v>
      </c>
      <c r="J748" s="658">
        <f>VLOOKUP($I748,Prices!A:B,2,0)</f>
        <v>1</v>
      </c>
      <c r="K748" s="790">
        <f>VLOOKUP(I748,Prices!A:C,3,0)</f>
        <v>0</v>
      </c>
      <c r="L748" s="640" t="s">
        <v>224</v>
      </c>
      <c r="M748" s="640" t="s">
        <v>21</v>
      </c>
      <c r="N748" s="647" t="str">
        <f>VLOOKUP($I748,Prices!A:D,4,0)</f>
        <v>.</v>
      </c>
      <c r="O748" s="769" t="s">
        <v>194</v>
      </c>
      <c r="P748" s="793" t="s">
        <v>194</v>
      </c>
      <c r="Q748" s="851"/>
      <c r="R748" s="851"/>
      <c r="S748" s="853"/>
      <c r="T748" s="852"/>
      <c r="U748" s="855"/>
      <c r="V748" s="855"/>
      <c r="W748" s="855"/>
      <c r="X748" s="862"/>
      <c r="Y748" s="852"/>
      <c r="Z748" s="852"/>
      <c r="AA748" s="774" t="s">
        <v>21</v>
      </c>
      <c r="AB748" s="820" t="s">
        <v>21</v>
      </c>
      <c r="AC748" s="820" t="s">
        <v>21</v>
      </c>
      <c r="AD748" s="820" t="s">
        <v>21</v>
      </c>
      <c r="AE748" s="820" t="s">
        <v>21</v>
      </c>
      <c r="AF748" s="820" t="s">
        <v>21</v>
      </c>
      <c r="AG748" s="820" t="s">
        <v>21</v>
      </c>
      <c r="AH748" s="820" t="s">
        <v>21</v>
      </c>
      <c r="AI748" s="820" t="s">
        <v>21</v>
      </c>
      <c r="AJ748" s="820" t="s">
        <v>21</v>
      </c>
      <c r="AK748" s="820" t="s">
        <v>21</v>
      </c>
      <c r="AL748" s="820" t="s">
        <v>21</v>
      </c>
      <c r="AM748" s="820" t="s">
        <v>21</v>
      </c>
      <c r="AN748" s="820" t="s">
        <v>21</v>
      </c>
      <c r="AO748" s="820" t="s">
        <v>21</v>
      </c>
      <c r="AP748" s="820" t="s">
        <v>21</v>
      </c>
    </row>
    <row r="749" spans="1:42" s="141" customFormat="1" ht="15" customHeight="1">
      <c r="A749" s="848"/>
      <c r="B749" s="848"/>
      <c r="C749" s="848"/>
      <c r="D749" s="848"/>
      <c r="E749" s="848"/>
      <c r="F749" s="850"/>
      <c r="G749" s="851"/>
      <c r="H749" s="852"/>
      <c r="I749" s="547" t="s">
        <v>1471</v>
      </c>
      <c r="J749" s="658">
        <f>VLOOKUP($I749,Prices!A:B,2,0)</f>
        <v>1</v>
      </c>
      <c r="K749" s="790">
        <f>VLOOKUP(I749,Prices!A:C,3,0)</f>
        <v>0</v>
      </c>
      <c r="L749" s="640" t="s">
        <v>224</v>
      </c>
      <c r="M749" s="640" t="s">
        <v>21</v>
      </c>
      <c r="N749" s="647" t="str">
        <f>VLOOKUP($I749,Prices!A:D,4,0)</f>
        <v>.</v>
      </c>
      <c r="O749" s="769" t="s">
        <v>194</v>
      </c>
      <c r="P749" s="793" t="s">
        <v>194</v>
      </c>
      <c r="Q749" s="851"/>
      <c r="R749" s="851"/>
      <c r="S749" s="853"/>
      <c r="T749" s="852"/>
      <c r="U749" s="855"/>
      <c r="V749" s="855"/>
      <c r="W749" s="855"/>
      <c r="X749" s="862"/>
      <c r="Y749" s="852"/>
      <c r="Z749" s="852"/>
      <c r="AA749" s="774" t="s">
        <v>21</v>
      </c>
      <c r="AB749" s="820" t="s">
        <v>21</v>
      </c>
      <c r="AC749" s="820" t="s">
        <v>21</v>
      </c>
      <c r="AD749" s="820" t="s">
        <v>21</v>
      </c>
      <c r="AE749" s="820" t="s">
        <v>21</v>
      </c>
      <c r="AF749" s="820" t="s">
        <v>21</v>
      </c>
      <c r="AG749" s="820" t="s">
        <v>21</v>
      </c>
      <c r="AH749" s="820" t="s">
        <v>21</v>
      </c>
      <c r="AI749" s="820" t="s">
        <v>21</v>
      </c>
      <c r="AJ749" s="820" t="s">
        <v>21</v>
      </c>
      <c r="AK749" s="820" t="s">
        <v>21</v>
      </c>
      <c r="AL749" s="820" t="s">
        <v>21</v>
      </c>
      <c r="AM749" s="820" t="s">
        <v>21</v>
      </c>
      <c r="AN749" s="820" t="s">
        <v>21</v>
      </c>
      <c r="AO749" s="820" t="s">
        <v>21</v>
      </c>
      <c r="AP749" s="820" t="s">
        <v>21</v>
      </c>
    </row>
    <row r="750" spans="1:42" s="141" customFormat="1" ht="15.75" customHeight="1">
      <c r="A750" s="848"/>
      <c r="B750" s="848"/>
      <c r="C750" s="848"/>
      <c r="D750" s="848"/>
      <c r="E750" s="848"/>
      <c r="F750" s="850"/>
      <c r="G750" s="851"/>
      <c r="H750" s="852"/>
      <c r="I750" s="547" t="s">
        <v>1909</v>
      </c>
      <c r="J750" s="658">
        <f>VLOOKUP($I750,Prices!A:B,2,0)</f>
        <v>1</v>
      </c>
      <c r="K750" s="790">
        <f>VLOOKUP(I750,Prices!A:C,3,0)</f>
        <v>0</v>
      </c>
      <c r="L750" s="640" t="s">
        <v>224</v>
      </c>
      <c r="M750" s="640" t="s">
        <v>21</v>
      </c>
      <c r="N750" s="647" t="str">
        <f>VLOOKUP($I750,Prices!A:D,4,0)</f>
        <v>.</v>
      </c>
      <c r="O750" s="769" t="s">
        <v>194</v>
      </c>
      <c r="P750" s="793" t="s">
        <v>194</v>
      </c>
      <c r="Q750" s="851"/>
      <c r="R750" s="851"/>
      <c r="S750" s="853"/>
      <c r="T750" s="852"/>
      <c r="U750" s="855"/>
      <c r="V750" s="855"/>
      <c r="W750" s="855"/>
      <c r="X750" s="862"/>
      <c r="Y750" s="852"/>
      <c r="Z750" s="852"/>
      <c r="AA750" s="774" t="s">
        <v>21</v>
      </c>
      <c r="AB750" s="820" t="s">
        <v>21</v>
      </c>
      <c r="AC750" s="820" t="s">
        <v>21</v>
      </c>
      <c r="AD750" s="820" t="s">
        <v>21</v>
      </c>
      <c r="AE750" s="820" t="s">
        <v>21</v>
      </c>
      <c r="AF750" s="820" t="s">
        <v>21</v>
      </c>
      <c r="AG750" s="820" t="s">
        <v>21</v>
      </c>
      <c r="AH750" s="820" t="s">
        <v>21</v>
      </c>
      <c r="AI750" s="820" t="s">
        <v>21</v>
      </c>
      <c r="AJ750" s="820" t="s">
        <v>21</v>
      </c>
      <c r="AK750" s="820" t="s">
        <v>21</v>
      </c>
      <c r="AL750" s="820" t="s">
        <v>21</v>
      </c>
      <c r="AM750" s="820" t="s">
        <v>21</v>
      </c>
      <c r="AN750" s="820" t="s">
        <v>21</v>
      </c>
      <c r="AO750" s="820" t="s">
        <v>21</v>
      </c>
      <c r="AP750" s="820" t="s">
        <v>21</v>
      </c>
    </row>
    <row r="751" spans="1:42" s="141" customFormat="1" ht="17.25" customHeight="1">
      <c r="A751" s="848"/>
      <c r="B751" s="848"/>
      <c r="C751" s="848"/>
      <c r="D751" s="848"/>
      <c r="E751" s="848"/>
      <c r="F751" s="850"/>
      <c r="G751" s="851"/>
      <c r="H751" s="852"/>
      <c r="I751" s="547" t="s">
        <v>1915</v>
      </c>
      <c r="J751" s="658">
        <f>VLOOKUP($I751,Prices!A:B,2,0)</f>
        <v>1</v>
      </c>
      <c r="K751" s="790">
        <f>VLOOKUP(I751,Prices!A:C,3,0)</f>
        <v>0</v>
      </c>
      <c r="L751" s="640" t="s">
        <v>224</v>
      </c>
      <c r="M751" s="640" t="s">
        <v>21</v>
      </c>
      <c r="N751" s="647" t="str">
        <f>VLOOKUP($I751,Prices!A:D,4,0)</f>
        <v>.</v>
      </c>
      <c r="O751" s="769" t="s">
        <v>194</v>
      </c>
      <c r="P751" s="793" t="s">
        <v>194</v>
      </c>
      <c r="Q751" s="851"/>
      <c r="R751" s="851"/>
      <c r="S751" s="853"/>
      <c r="T751" s="852"/>
      <c r="U751" s="855"/>
      <c r="V751" s="855"/>
      <c r="W751" s="855"/>
      <c r="X751" s="862"/>
      <c r="Y751" s="852"/>
      <c r="Z751" s="852"/>
      <c r="AA751" s="774" t="s">
        <v>21</v>
      </c>
      <c r="AB751" s="820" t="s">
        <v>21</v>
      </c>
      <c r="AC751" s="820" t="s">
        <v>21</v>
      </c>
      <c r="AD751" s="820" t="s">
        <v>21</v>
      </c>
      <c r="AE751" s="820" t="s">
        <v>21</v>
      </c>
      <c r="AF751" s="820" t="s">
        <v>21</v>
      </c>
      <c r="AG751" s="820" t="s">
        <v>21</v>
      </c>
      <c r="AH751" s="820" t="s">
        <v>21</v>
      </c>
      <c r="AI751" s="820" t="s">
        <v>21</v>
      </c>
      <c r="AJ751" s="820" t="s">
        <v>21</v>
      </c>
      <c r="AK751" s="820" t="s">
        <v>21</v>
      </c>
      <c r="AL751" s="820" t="s">
        <v>21</v>
      </c>
      <c r="AM751" s="820" t="s">
        <v>21</v>
      </c>
      <c r="AN751" s="820" t="s">
        <v>21</v>
      </c>
      <c r="AO751" s="820" t="s">
        <v>21</v>
      </c>
      <c r="AP751" s="820" t="s">
        <v>21</v>
      </c>
    </row>
    <row r="752" spans="1:42" s="141" customFormat="1" ht="25.5" customHeight="1">
      <c r="A752" s="848"/>
      <c r="B752" s="848"/>
      <c r="C752" s="849">
        <v>44729</v>
      </c>
      <c r="D752" s="848" t="s">
        <v>212</v>
      </c>
      <c r="E752" s="848" t="s">
        <v>1981</v>
      </c>
      <c r="F752" s="850" t="s">
        <v>1982</v>
      </c>
      <c r="G752" s="851">
        <v>650000000</v>
      </c>
      <c r="H752" s="852" t="s">
        <v>260</v>
      </c>
      <c r="I752" s="547" t="s">
        <v>654</v>
      </c>
      <c r="J752" s="658">
        <f>VLOOKUP($I752,Prices!A:B,2,0)</f>
        <v>4</v>
      </c>
      <c r="K752" s="790">
        <f>VLOOKUP(I752,Prices!A:C,3,0)</f>
        <v>0</v>
      </c>
      <c r="L752" s="640">
        <v>2</v>
      </c>
      <c r="M752" s="640" t="s">
        <v>194</v>
      </c>
      <c r="N752" s="647">
        <f>VLOOKUP($I752,Prices!A:D,4,0)</f>
        <v>29215940</v>
      </c>
      <c r="O752" s="769">
        <f t="shared" si="51"/>
        <v>58431880</v>
      </c>
      <c r="P752" s="793" t="s">
        <v>194</v>
      </c>
      <c r="Q752" s="851"/>
      <c r="R752" s="851"/>
      <c r="S752" s="853"/>
      <c r="T752" s="852" t="s">
        <v>195</v>
      </c>
      <c r="U752" s="854" t="s">
        <v>1862</v>
      </c>
      <c r="V752" s="854" t="s">
        <v>1956</v>
      </c>
      <c r="W752" s="854" t="s">
        <v>1957</v>
      </c>
      <c r="X752" s="850" t="s">
        <v>194</v>
      </c>
      <c r="Y752" s="852">
        <v>0</v>
      </c>
      <c r="Z752" s="852">
        <v>1</v>
      </c>
      <c r="AA752" s="857" t="s">
        <v>194</v>
      </c>
      <c r="AB752" s="820" t="s">
        <v>21</v>
      </c>
      <c r="AC752" s="820" t="s">
        <v>21</v>
      </c>
      <c r="AD752" s="820" t="s">
        <v>21</v>
      </c>
      <c r="AE752" s="820" t="s">
        <v>21</v>
      </c>
      <c r="AF752" s="820" t="s">
        <v>21</v>
      </c>
      <c r="AG752" s="820" t="s">
        <v>21</v>
      </c>
      <c r="AH752" s="820" t="s">
        <v>21</v>
      </c>
      <c r="AI752" s="820" t="s">
        <v>21</v>
      </c>
      <c r="AJ752" s="820" t="s">
        <v>21</v>
      </c>
      <c r="AK752" s="820" t="s">
        <v>21</v>
      </c>
      <c r="AL752" s="820" t="s">
        <v>21</v>
      </c>
      <c r="AM752" s="820" t="s">
        <v>21</v>
      </c>
      <c r="AN752" s="820" t="s">
        <v>21</v>
      </c>
      <c r="AO752" s="820" t="s">
        <v>21</v>
      </c>
      <c r="AP752" s="820" t="s">
        <v>21</v>
      </c>
    </row>
    <row r="753" spans="1:42" s="141" customFormat="1" ht="22.5" customHeight="1">
      <c r="A753" s="848"/>
      <c r="B753" s="848"/>
      <c r="C753" s="848"/>
      <c r="D753" s="848"/>
      <c r="E753" s="848"/>
      <c r="F753" s="850"/>
      <c r="G753" s="851"/>
      <c r="H753" s="852"/>
      <c r="I753" s="547" t="s">
        <v>684</v>
      </c>
      <c r="J753" s="658">
        <f>VLOOKUP($I753,Prices!A:B,2,0)</f>
        <v>1</v>
      </c>
      <c r="K753" s="790">
        <f>VLOOKUP(I753,Prices!A:C,3,0)</f>
        <v>0</v>
      </c>
      <c r="L753" s="640">
        <v>2000</v>
      </c>
      <c r="M753" s="640" t="s">
        <v>194</v>
      </c>
      <c r="N753" s="647" t="str">
        <f>VLOOKUP($I753,Prices!A:D,4,0)</f>
        <v>.</v>
      </c>
      <c r="O753" s="769" t="s">
        <v>194</v>
      </c>
      <c r="P753" s="793" t="s">
        <v>194</v>
      </c>
      <c r="Q753" s="851"/>
      <c r="R753" s="851"/>
      <c r="S753" s="853"/>
      <c r="T753" s="852"/>
      <c r="U753" s="855"/>
      <c r="V753" s="855"/>
      <c r="W753" s="855"/>
      <c r="X753" s="850"/>
      <c r="Y753" s="852"/>
      <c r="Z753" s="852"/>
      <c r="AA753" s="857"/>
      <c r="AB753" s="820" t="s">
        <v>21</v>
      </c>
      <c r="AC753" s="820" t="s">
        <v>21</v>
      </c>
      <c r="AD753" s="820" t="s">
        <v>21</v>
      </c>
      <c r="AE753" s="820" t="s">
        <v>21</v>
      </c>
      <c r="AF753" s="820" t="s">
        <v>21</v>
      </c>
      <c r="AG753" s="820" t="s">
        <v>21</v>
      </c>
      <c r="AH753" s="820" t="s">
        <v>21</v>
      </c>
      <c r="AI753" s="820" t="s">
        <v>21</v>
      </c>
      <c r="AJ753" s="820" t="s">
        <v>21</v>
      </c>
      <c r="AK753" s="820" t="s">
        <v>21</v>
      </c>
      <c r="AL753" s="820" t="s">
        <v>21</v>
      </c>
      <c r="AM753" s="820" t="s">
        <v>21</v>
      </c>
      <c r="AN753" s="820" t="s">
        <v>21</v>
      </c>
      <c r="AO753" s="820" t="s">
        <v>21</v>
      </c>
      <c r="AP753" s="820" t="s">
        <v>21</v>
      </c>
    </row>
    <row r="754" spans="1:42" s="141" customFormat="1" ht="24" customHeight="1">
      <c r="A754" s="848"/>
      <c r="B754" s="848"/>
      <c r="C754" s="848"/>
      <c r="D754" s="848"/>
      <c r="E754" s="848"/>
      <c r="F754" s="850"/>
      <c r="G754" s="851"/>
      <c r="H754" s="852"/>
      <c r="I754" s="547" t="s">
        <v>686</v>
      </c>
      <c r="J754" s="658">
        <f>VLOOKUP($I754,Prices!A:B,2,0)</f>
        <v>1</v>
      </c>
      <c r="K754" s="790">
        <f>VLOOKUP(I754,Prices!A:C,3,0)</f>
        <v>0</v>
      </c>
      <c r="L754" s="640" t="s">
        <v>224</v>
      </c>
      <c r="M754" s="640" t="s">
        <v>194</v>
      </c>
      <c r="N754" s="647">
        <f>VLOOKUP($I754,Prices!A:D,4,0)</f>
        <v>5000</v>
      </c>
      <c r="O754" s="769" t="s">
        <v>194</v>
      </c>
      <c r="P754" s="793" t="s">
        <v>194</v>
      </c>
      <c r="Q754" s="851"/>
      <c r="R754" s="851"/>
      <c r="S754" s="853"/>
      <c r="T754" s="852"/>
      <c r="U754" s="855"/>
      <c r="V754" s="855"/>
      <c r="W754" s="855"/>
      <c r="X754" s="850"/>
      <c r="Y754" s="852"/>
      <c r="Z754" s="852"/>
      <c r="AA754" s="857"/>
      <c r="AB754" s="820" t="s">
        <v>21</v>
      </c>
      <c r="AC754" s="820" t="s">
        <v>21</v>
      </c>
      <c r="AD754" s="820" t="s">
        <v>21</v>
      </c>
      <c r="AE754" s="820" t="s">
        <v>21</v>
      </c>
      <c r="AF754" s="820" t="s">
        <v>21</v>
      </c>
      <c r="AG754" s="820" t="s">
        <v>21</v>
      </c>
      <c r="AH754" s="820" t="s">
        <v>21</v>
      </c>
      <c r="AI754" s="820" t="s">
        <v>21</v>
      </c>
      <c r="AJ754" s="820" t="s">
        <v>21</v>
      </c>
      <c r="AK754" s="820" t="s">
        <v>21</v>
      </c>
      <c r="AL754" s="820" t="s">
        <v>21</v>
      </c>
      <c r="AM754" s="820" t="s">
        <v>21</v>
      </c>
      <c r="AN754" s="820" t="s">
        <v>21</v>
      </c>
      <c r="AO754" s="820" t="s">
        <v>21</v>
      </c>
      <c r="AP754" s="820" t="s">
        <v>21</v>
      </c>
    </row>
    <row r="755" spans="1:42" s="141" customFormat="1" ht="24" customHeight="1">
      <c r="A755" s="848"/>
      <c r="B755" s="848"/>
      <c r="C755" s="848"/>
      <c r="D755" s="848"/>
      <c r="E755" s="848"/>
      <c r="F755" s="850"/>
      <c r="G755" s="851"/>
      <c r="H755" s="852"/>
      <c r="I755" s="691" t="s">
        <v>412</v>
      </c>
      <c r="J755" s="658">
        <f>VLOOKUP($I755,Prices!A:B,2,0)</f>
        <v>1</v>
      </c>
      <c r="K755" s="790">
        <f>VLOOKUP(I755,Prices!A:C,3,0)</f>
        <v>0</v>
      </c>
      <c r="L755" s="640" t="s">
        <v>224</v>
      </c>
      <c r="M755" s="640" t="s">
        <v>194</v>
      </c>
      <c r="N755" s="647">
        <f>VLOOKUP($I755,Prices!A:D,4,0)</f>
        <v>7600</v>
      </c>
      <c r="O755" s="769" t="s">
        <v>194</v>
      </c>
      <c r="P755" s="793" t="s">
        <v>194</v>
      </c>
      <c r="Q755" s="851"/>
      <c r="R755" s="851"/>
      <c r="S755" s="853"/>
      <c r="T755" s="852"/>
      <c r="U755" s="855"/>
      <c r="V755" s="855"/>
      <c r="W755" s="855"/>
      <c r="X755" s="850"/>
      <c r="Y755" s="852"/>
      <c r="Z755" s="852"/>
      <c r="AA755" s="857"/>
      <c r="AB755" s="820" t="s">
        <v>21</v>
      </c>
      <c r="AC755" s="820" t="s">
        <v>21</v>
      </c>
      <c r="AD755" s="820" t="s">
        <v>21</v>
      </c>
      <c r="AE755" s="820" t="s">
        <v>21</v>
      </c>
      <c r="AF755" s="820" t="s">
        <v>21</v>
      </c>
      <c r="AG755" s="820" t="s">
        <v>21</v>
      </c>
      <c r="AH755" s="820" t="s">
        <v>21</v>
      </c>
      <c r="AI755" s="820" t="s">
        <v>21</v>
      </c>
      <c r="AJ755" s="820" t="s">
        <v>21</v>
      </c>
      <c r="AK755" s="820" t="s">
        <v>21</v>
      </c>
      <c r="AL755" s="820" t="s">
        <v>21</v>
      </c>
      <c r="AM755" s="820" t="s">
        <v>21</v>
      </c>
      <c r="AN755" s="820" t="s">
        <v>21</v>
      </c>
      <c r="AO755" s="820" t="s">
        <v>21</v>
      </c>
      <c r="AP755" s="820" t="s">
        <v>21</v>
      </c>
    </row>
    <row r="756" spans="1:42" s="717" customFormat="1" ht="24" customHeight="1">
      <c r="A756" s="848"/>
      <c r="B756" s="848"/>
      <c r="C756" s="849">
        <v>44743</v>
      </c>
      <c r="D756" s="848" t="s">
        <v>212</v>
      </c>
      <c r="E756" s="848" t="s">
        <v>1983</v>
      </c>
      <c r="F756" s="850" t="s">
        <v>1984</v>
      </c>
      <c r="G756" s="851">
        <v>770000000</v>
      </c>
      <c r="H756" s="852" t="s">
        <v>260</v>
      </c>
      <c r="I756" s="691" t="s">
        <v>1985</v>
      </c>
      <c r="J756" s="658">
        <f>VLOOKUP($I756,Prices!A:B,2,0)</f>
        <v>4</v>
      </c>
      <c r="K756" s="790">
        <f>VLOOKUP(I756,Prices!A:C,3,0)</f>
        <v>0</v>
      </c>
      <c r="L756" s="640">
        <v>2</v>
      </c>
      <c r="M756" s="640" t="s">
        <v>194</v>
      </c>
      <c r="N756" s="647">
        <f>VLOOKUP($I756,Prices!A:D,4,0)</f>
        <v>50000000</v>
      </c>
      <c r="O756" s="769">
        <f t="shared" si="51"/>
        <v>100000000</v>
      </c>
      <c r="P756" s="793" t="s">
        <v>194</v>
      </c>
      <c r="Q756" s="851"/>
      <c r="R756" s="851"/>
      <c r="S756" s="853"/>
      <c r="T756" s="852" t="s">
        <v>195</v>
      </c>
      <c r="U756" s="854" t="s">
        <v>1966</v>
      </c>
      <c r="V756" s="943" t="s">
        <v>194</v>
      </c>
      <c r="W756" s="943" t="s">
        <v>194</v>
      </c>
      <c r="X756" s="944" t="s">
        <v>194</v>
      </c>
      <c r="Y756" s="852">
        <v>0</v>
      </c>
      <c r="Z756" s="852">
        <v>1</v>
      </c>
      <c r="AA756" s="857"/>
      <c r="AB756" s="820"/>
      <c r="AC756" s="820"/>
      <c r="AD756" s="820"/>
      <c r="AE756" s="820"/>
      <c r="AF756" s="820"/>
      <c r="AG756" s="820"/>
      <c r="AH756" s="820"/>
      <c r="AI756" s="820"/>
      <c r="AJ756" s="820"/>
      <c r="AK756" s="820"/>
      <c r="AL756" s="820"/>
      <c r="AM756" s="820"/>
      <c r="AN756" s="820"/>
      <c r="AO756" s="820"/>
      <c r="AP756" s="820"/>
    </row>
    <row r="757" spans="1:42" s="717" customFormat="1" ht="24" customHeight="1">
      <c r="A757" s="848"/>
      <c r="B757" s="848"/>
      <c r="C757" s="849"/>
      <c r="D757" s="848"/>
      <c r="E757" s="848"/>
      <c r="F757" s="850"/>
      <c r="G757" s="851"/>
      <c r="H757" s="852"/>
      <c r="I757" s="691" t="s">
        <v>1950</v>
      </c>
      <c r="J757" s="658">
        <f>VLOOKUP($I757,Prices!A:B,2,0)</f>
        <v>4.5</v>
      </c>
      <c r="K757" s="790">
        <f>VLOOKUP(I757,Prices!A:C,3,0)</f>
        <v>0</v>
      </c>
      <c r="L757" s="640">
        <v>150000</v>
      </c>
      <c r="M757" s="640" t="s">
        <v>194</v>
      </c>
      <c r="N757" s="647">
        <f>VLOOKUP($I757,Prices!A:D,4,0)</f>
        <v>3890</v>
      </c>
      <c r="O757" s="769">
        <f t="shared" si="51"/>
        <v>583500000</v>
      </c>
      <c r="P757" s="793" t="s">
        <v>194</v>
      </c>
      <c r="Q757" s="851"/>
      <c r="R757" s="851"/>
      <c r="S757" s="853"/>
      <c r="T757" s="852"/>
      <c r="U757" s="854"/>
      <c r="V757" s="943"/>
      <c r="W757" s="943"/>
      <c r="X757" s="944"/>
      <c r="Y757" s="852"/>
      <c r="Z757" s="852"/>
      <c r="AA757" s="857"/>
      <c r="AB757" s="820"/>
      <c r="AC757" s="820"/>
      <c r="AD757" s="820"/>
      <c r="AE757" s="820"/>
      <c r="AF757" s="820"/>
      <c r="AG757" s="820"/>
      <c r="AH757" s="820"/>
      <c r="AI757" s="820"/>
      <c r="AJ757" s="820"/>
      <c r="AK757" s="820"/>
      <c r="AL757" s="820"/>
      <c r="AM757" s="820"/>
      <c r="AN757" s="820"/>
      <c r="AO757" s="820"/>
      <c r="AP757" s="820"/>
    </row>
    <row r="758" spans="1:42" s="717" customFormat="1" ht="24" customHeight="1">
      <c r="A758" s="848"/>
      <c r="B758" s="848"/>
      <c r="C758" s="849"/>
      <c r="D758" s="848"/>
      <c r="E758" s="848"/>
      <c r="F758" s="850"/>
      <c r="G758" s="851"/>
      <c r="H758" s="852"/>
      <c r="I758" s="775" t="s">
        <v>1887</v>
      </c>
      <c r="J758" s="658">
        <f>VLOOKUP($I758,Prices!A:B,2,0)</f>
        <v>1</v>
      </c>
      <c r="K758" s="790">
        <f>VLOOKUP(I758,Prices!A:C,3,0)</f>
        <v>0</v>
      </c>
      <c r="L758" s="640">
        <v>4</v>
      </c>
      <c r="M758" s="640" t="s">
        <v>194</v>
      </c>
      <c r="N758" s="647">
        <f>VLOOKUP($I758,Prices!A:D,4,0)</f>
        <v>8888888</v>
      </c>
      <c r="O758" s="769">
        <f t="shared" si="51"/>
        <v>35555552</v>
      </c>
      <c r="P758" s="793" t="s">
        <v>194</v>
      </c>
      <c r="Q758" s="851"/>
      <c r="R758" s="851"/>
      <c r="S758" s="853"/>
      <c r="T758" s="852"/>
      <c r="U758" s="854"/>
      <c r="V758" s="943"/>
      <c r="W758" s="943"/>
      <c r="X758" s="944"/>
      <c r="Y758" s="852"/>
      <c r="Z758" s="852"/>
      <c r="AA758" s="857"/>
      <c r="AB758" s="820"/>
      <c r="AC758" s="820"/>
      <c r="AD758" s="820"/>
      <c r="AE758" s="820"/>
      <c r="AF758" s="820"/>
      <c r="AG758" s="820"/>
      <c r="AH758" s="820"/>
      <c r="AI758" s="820"/>
      <c r="AJ758" s="820"/>
      <c r="AK758" s="820"/>
      <c r="AL758" s="820"/>
      <c r="AM758" s="820"/>
      <c r="AN758" s="820"/>
      <c r="AO758" s="820"/>
      <c r="AP758" s="820"/>
    </row>
    <row r="759" spans="1:42" s="637" customFormat="1" ht="27" customHeight="1">
      <c r="A759" s="848" t="s">
        <v>1986</v>
      </c>
      <c r="B759" s="848" t="s">
        <v>1837</v>
      </c>
      <c r="C759" s="849">
        <v>44759</v>
      </c>
      <c r="D759" s="848" t="s">
        <v>212</v>
      </c>
      <c r="E759" s="848" t="s">
        <v>1983</v>
      </c>
      <c r="F759" s="850" t="s">
        <v>1987</v>
      </c>
      <c r="G759" s="851">
        <v>600000000</v>
      </c>
      <c r="H759" s="852" t="s">
        <v>260</v>
      </c>
      <c r="I759" s="547" t="s">
        <v>1988</v>
      </c>
      <c r="J759" s="658">
        <f>VLOOKUP($I759,Prices!A:B,2,0)</f>
        <v>4</v>
      </c>
      <c r="K759" s="790">
        <f>VLOOKUP(I759,Prices!A:C,3,0)</f>
        <v>0</v>
      </c>
      <c r="L759" s="640">
        <v>16</v>
      </c>
      <c r="M759" s="640" t="s">
        <v>194</v>
      </c>
      <c r="N759" s="647">
        <f>VLOOKUP($I759,Prices!A:D,4,0)</f>
        <v>15000000</v>
      </c>
      <c r="O759" s="769">
        <f t="shared" si="51"/>
        <v>240000000</v>
      </c>
      <c r="P759" s="793" t="s">
        <v>194</v>
      </c>
      <c r="Q759" s="851">
        <v>4000000000</v>
      </c>
      <c r="R759" s="851">
        <f>Q759/VLOOKUP(H759,'Currency Conversion'!$B$2:$C$16,2,0)</f>
        <v>3787878787.8787875</v>
      </c>
      <c r="S759" s="853" t="s">
        <v>194</v>
      </c>
      <c r="T759" s="852" t="s">
        <v>195</v>
      </c>
      <c r="U759" s="854" t="s">
        <v>1862</v>
      </c>
      <c r="V759" s="850" t="s">
        <v>1989</v>
      </c>
      <c r="W759" s="850" t="s">
        <v>194</v>
      </c>
      <c r="X759" s="856" t="s">
        <v>194</v>
      </c>
      <c r="Y759" s="852">
        <v>0</v>
      </c>
      <c r="Z759" s="852">
        <v>1</v>
      </c>
      <c r="AA759" s="857" t="s">
        <v>194</v>
      </c>
      <c r="AB759" s="820" t="s">
        <v>21</v>
      </c>
      <c r="AC759" s="820" t="s">
        <v>21</v>
      </c>
      <c r="AD759" s="820" t="s">
        <v>21</v>
      </c>
      <c r="AE759" s="820" t="s">
        <v>21</v>
      </c>
      <c r="AF759" s="820" t="s">
        <v>21</v>
      </c>
      <c r="AG759" s="820" t="s">
        <v>21</v>
      </c>
      <c r="AH759" s="820" t="s">
        <v>21</v>
      </c>
      <c r="AI759" s="820" t="s">
        <v>21</v>
      </c>
      <c r="AJ759" s="820" t="s">
        <v>21</v>
      </c>
      <c r="AK759" s="820" t="s">
        <v>21</v>
      </c>
      <c r="AL759" s="820" t="s">
        <v>21</v>
      </c>
      <c r="AM759" s="820" t="s">
        <v>21</v>
      </c>
      <c r="AN759" s="820" t="s">
        <v>21</v>
      </c>
      <c r="AO759" s="820" t="s">
        <v>21</v>
      </c>
      <c r="AP759" s="820" t="s">
        <v>21</v>
      </c>
    </row>
    <row r="760" spans="1:42" s="637" customFormat="1" ht="24" customHeight="1">
      <c r="A760" s="848"/>
      <c r="B760" s="848"/>
      <c r="C760" s="848"/>
      <c r="D760" s="848"/>
      <c r="E760" s="848"/>
      <c r="F760" s="850"/>
      <c r="G760" s="851"/>
      <c r="H760" s="852"/>
      <c r="I760" s="547" t="s">
        <v>1990</v>
      </c>
      <c r="J760" s="658">
        <f>VLOOKUP($I760,Prices!A:B,2,0)</f>
        <v>2</v>
      </c>
      <c r="K760" s="790">
        <f>VLOOKUP(I760,Prices!A:C,3,0)</f>
        <v>0</v>
      </c>
      <c r="L760" s="640">
        <v>32</v>
      </c>
      <c r="M760" s="640" t="s">
        <v>194</v>
      </c>
      <c r="N760" s="647" t="str">
        <f>VLOOKUP($I760,Prices!A:D,4,0)</f>
        <v>.</v>
      </c>
      <c r="O760" s="769" t="s">
        <v>194</v>
      </c>
      <c r="P760" s="793" t="s">
        <v>194</v>
      </c>
      <c r="Q760" s="851"/>
      <c r="R760" s="851"/>
      <c r="S760" s="853"/>
      <c r="T760" s="852"/>
      <c r="U760" s="855"/>
      <c r="V760" s="850"/>
      <c r="W760" s="850"/>
      <c r="X760" s="856"/>
      <c r="Y760" s="852"/>
      <c r="Z760" s="852"/>
      <c r="AA760" s="857"/>
      <c r="AB760" s="820" t="s">
        <v>21</v>
      </c>
      <c r="AC760" s="820" t="s">
        <v>21</v>
      </c>
      <c r="AD760" s="820" t="s">
        <v>21</v>
      </c>
      <c r="AE760" s="820" t="s">
        <v>21</v>
      </c>
      <c r="AF760" s="820" t="s">
        <v>21</v>
      </c>
      <c r="AG760" s="820" t="s">
        <v>21</v>
      </c>
      <c r="AH760" s="820" t="s">
        <v>21</v>
      </c>
      <c r="AI760" s="820" t="s">
        <v>21</v>
      </c>
      <c r="AJ760" s="820" t="s">
        <v>21</v>
      </c>
      <c r="AK760" s="820" t="s">
        <v>21</v>
      </c>
      <c r="AL760" s="820" t="s">
        <v>21</v>
      </c>
      <c r="AM760" s="820" t="s">
        <v>21</v>
      </c>
      <c r="AN760" s="820" t="s">
        <v>21</v>
      </c>
      <c r="AO760" s="820" t="s">
        <v>21</v>
      </c>
      <c r="AP760" s="820" t="s">
        <v>21</v>
      </c>
    </row>
    <row r="761" spans="1:42" s="637" customFormat="1" ht="21.75" customHeight="1">
      <c r="A761" s="848"/>
      <c r="B761" s="848"/>
      <c r="C761" s="848"/>
      <c r="D761" s="848"/>
      <c r="E761" s="848"/>
      <c r="F761" s="850"/>
      <c r="G761" s="851"/>
      <c r="H761" s="852"/>
      <c r="I761" s="547" t="s">
        <v>1991</v>
      </c>
      <c r="J761" s="658">
        <f>VLOOKUP($I761,Prices!A:B,2,0)</f>
        <v>1</v>
      </c>
      <c r="K761" s="790">
        <f>VLOOKUP(I761,Prices!A:C,3,0)</f>
        <v>0</v>
      </c>
      <c r="L761" s="640">
        <v>20</v>
      </c>
      <c r="M761" s="640" t="s">
        <v>194</v>
      </c>
      <c r="N761" s="647" t="str">
        <f>VLOOKUP($I761,Prices!A:D,4,0)</f>
        <v>.</v>
      </c>
      <c r="O761" s="769" t="s">
        <v>194</v>
      </c>
      <c r="P761" s="793" t="s">
        <v>194</v>
      </c>
      <c r="Q761" s="851"/>
      <c r="R761" s="851"/>
      <c r="S761" s="853"/>
      <c r="T761" s="852"/>
      <c r="U761" s="855"/>
      <c r="V761" s="850"/>
      <c r="W761" s="850"/>
      <c r="X761" s="856"/>
      <c r="Y761" s="852"/>
      <c r="Z761" s="852"/>
      <c r="AA761" s="857"/>
      <c r="AB761" s="820" t="s">
        <v>21</v>
      </c>
      <c r="AC761" s="820" t="s">
        <v>21</v>
      </c>
      <c r="AD761" s="820" t="s">
        <v>21</v>
      </c>
      <c r="AE761" s="820" t="s">
        <v>21</v>
      </c>
      <c r="AF761" s="820" t="s">
        <v>21</v>
      </c>
      <c r="AG761" s="820" t="s">
        <v>21</v>
      </c>
      <c r="AH761" s="820" t="s">
        <v>21</v>
      </c>
      <c r="AI761" s="820" t="s">
        <v>21</v>
      </c>
      <c r="AJ761" s="820" t="s">
        <v>21</v>
      </c>
      <c r="AK761" s="820" t="s">
        <v>21</v>
      </c>
      <c r="AL761" s="820" t="s">
        <v>21</v>
      </c>
      <c r="AM761" s="820" t="s">
        <v>21</v>
      </c>
      <c r="AN761" s="820" t="s">
        <v>21</v>
      </c>
      <c r="AO761" s="820" t="s">
        <v>21</v>
      </c>
      <c r="AP761" s="820" t="s">
        <v>21</v>
      </c>
    </row>
    <row r="762" spans="1:42" s="637" customFormat="1" ht="19.5" customHeight="1">
      <c r="A762" s="848"/>
      <c r="B762" s="848"/>
      <c r="C762" s="848"/>
      <c r="D762" s="848"/>
      <c r="E762" s="848"/>
      <c r="F762" s="850"/>
      <c r="G762" s="851"/>
      <c r="H762" s="852"/>
      <c r="I762" s="547" t="s">
        <v>1992</v>
      </c>
      <c r="J762" s="658">
        <f>VLOOKUP($I762,Prices!A:B,2,0)</f>
        <v>1</v>
      </c>
      <c r="K762" s="790">
        <f>VLOOKUP(I762,Prices!A:C,3,0)</f>
        <v>0</v>
      </c>
      <c r="L762" s="640">
        <v>16</v>
      </c>
      <c r="M762" s="640" t="s">
        <v>194</v>
      </c>
      <c r="N762" s="647" t="str">
        <f>VLOOKUP($I762,Prices!A:D,4,0)</f>
        <v>.</v>
      </c>
      <c r="O762" s="769" t="s">
        <v>194</v>
      </c>
      <c r="P762" s="793" t="s">
        <v>194</v>
      </c>
      <c r="Q762" s="851"/>
      <c r="R762" s="851"/>
      <c r="S762" s="853"/>
      <c r="T762" s="852"/>
      <c r="U762" s="855"/>
      <c r="V762" s="850"/>
      <c r="W762" s="850"/>
      <c r="X762" s="856"/>
      <c r="Y762" s="852"/>
      <c r="Z762" s="852"/>
      <c r="AA762" s="857"/>
      <c r="AB762" s="820" t="s">
        <v>21</v>
      </c>
      <c r="AC762" s="820" t="s">
        <v>21</v>
      </c>
      <c r="AD762" s="820" t="s">
        <v>21</v>
      </c>
      <c r="AE762" s="820" t="s">
        <v>21</v>
      </c>
      <c r="AF762" s="820" t="s">
        <v>21</v>
      </c>
      <c r="AG762" s="820" t="s">
        <v>21</v>
      </c>
      <c r="AH762" s="820" t="s">
        <v>21</v>
      </c>
      <c r="AI762" s="820" t="s">
        <v>21</v>
      </c>
      <c r="AJ762" s="820" t="s">
        <v>21</v>
      </c>
      <c r="AK762" s="820" t="s">
        <v>21</v>
      </c>
      <c r="AL762" s="820" t="s">
        <v>21</v>
      </c>
      <c r="AM762" s="820" t="s">
        <v>21</v>
      </c>
      <c r="AN762" s="820" t="s">
        <v>21</v>
      </c>
      <c r="AO762" s="820" t="s">
        <v>21</v>
      </c>
      <c r="AP762" s="820" t="s">
        <v>21</v>
      </c>
    </row>
    <row r="763" spans="1:42" s="637" customFormat="1" ht="20.25" customHeight="1">
      <c r="A763" s="848"/>
      <c r="B763" s="848"/>
      <c r="C763" s="848"/>
      <c r="D763" s="848"/>
      <c r="E763" s="848"/>
      <c r="F763" s="850"/>
      <c r="G763" s="851"/>
      <c r="H763" s="852"/>
      <c r="I763" s="547" t="s">
        <v>1993</v>
      </c>
      <c r="J763" s="658">
        <f>VLOOKUP($I763,Prices!A:B,2,0)</f>
        <v>1</v>
      </c>
      <c r="K763" s="790">
        <f>VLOOKUP(I763,Prices!A:C,3,0)</f>
        <v>0</v>
      </c>
      <c r="L763" s="640">
        <v>16</v>
      </c>
      <c r="M763" s="640" t="s">
        <v>194</v>
      </c>
      <c r="N763" s="647" t="str">
        <f>VLOOKUP($I763,Prices!A:D,4,0)</f>
        <v>.</v>
      </c>
      <c r="O763" s="769" t="s">
        <v>194</v>
      </c>
      <c r="P763" s="793" t="s">
        <v>194</v>
      </c>
      <c r="Q763" s="851"/>
      <c r="R763" s="851"/>
      <c r="S763" s="853"/>
      <c r="T763" s="852"/>
      <c r="U763" s="855"/>
      <c r="V763" s="850"/>
      <c r="W763" s="850"/>
      <c r="X763" s="856"/>
      <c r="Y763" s="852"/>
      <c r="Z763" s="852"/>
      <c r="AA763" s="857"/>
      <c r="AB763" s="820" t="s">
        <v>21</v>
      </c>
      <c r="AC763" s="820" t="s">
        <v>21</v>
      </c>
      <c r="AD763" s="820" t="s">
        <v>21</v>
      </c>
      <c r="AE763" s="820" t="s">
        <v>21</v>
      </c>
      <c r="AF763" s="820" t="s">
        <v>21</v>
      </c>
      <c r="AG763" s="820" t="s">
        <v>21</v>
      </c>
      <c r="AH763" s="820" t="s">
        <v>21</v>
      </c>
      <c r="AI763" s="820" t="s">
        <v>21</v>
      </c>
      <c r="AJ763" s="820" t="s">
        <v>21</v>
      </c>
      <c r="AK763" s="820" t="s">
        <v>21</v>
      </c>
      <c r="AL763" s="820" t="s">
        <v>21</v>
      </c>
      <c r="AM763" s="820" t="s">
        <v>21</v>
      </c>
      <c r="AN763" s="820" t="s">
        <v>21</v>
      </c>
      <c r="AO763" s="820" t="s">
        <v>21</v>
      </c>
      <c r="AP763" s="820" t="s">
        <v>21</v>
      </c>
    </row>
    <row r="764" spans="1:42" s="637" customFormat="1" ht="21.75" customHeight="1">
      <c r="A764" s="848"/>
      <c r="B764" s="848"/>
      <c r="C764" s="848"/>
      <c r="D764" s="848"/>
      <c r="E764" s="848"/>
      <c r="F764" s="850"/>
      <c r="G764" s="851"/>
      <c r="H764" s="852"/>
      <c r="I764" s="547" t="s">
        <v>1994</v>
      </c>
      <c r="J764" s="658">
        <f>VLOOKUP($I764,Prices!A:B,2,0)</f>
        <v>2</v>
      </c>
      <c r="K764" s="790">
        <f>VLOOKUP(I764,Prices!A:C,3,0)</f>
        <v>0</v>
      </c>
      <c r="L764" s="640">
        <v>40</v>
      </c>
      <c r="M764" s="640" t="s">
        <v>194</v>
      </c>
      <c r="N764" s="647" t="str">
        <f>VLOOKUP($I764,Prices!A:D,4,0)</f>
        <v>.</v>
      </c>
      <c r="O764" s="769" t="s">
        <v>194</v>
      </c>
      <c r="P764" s="793" t="s">
        <v>194</v>
      </c>
      <c r="Q764" s="851"/>
      <c r="R764" s="851"/>
      <c r="S764" s="853"/>
      <c r="T764" s="852"/>
      <c r="U764" s="855"/>
      <c r="V764" s="850"/>
      <c r="W764" s="850"/>
      <c r="X764" s="856"/>
      <c r="Y764" s="852"/>
      <c r="Z764" s="852"/>
      <c r="AA764" s="857"/>
      <c r="AB764" s="820" t="s">
        <v>21</v>
      </c>
      <c r="AC764" s="820" t="s">
        <v>21</v>
      </c>
      <c r="AD764" s="820" t="s">
        <v>21</v>
      </c>
      <c r="AE764" s="820" t="s">
        <v>21</v>
      </c>
      <c r="AF764" s="820" t="s">
        <v>21</v>
      </c>
      <c r="AG764" s="820" t="s">
        <v>21</v>
      </c>
      <c r="AH764" s="820" t="s">
        <v>21</v>
      </c>
      <c r="AI764" s="820" t="s">
        <v>21</v>
      </c>
      <c r="AJ764" s="820" t="s">
        <v>21</v>
      </c>
      <c r="AK764" s="820" t="s">
        <v>21</v>
      </c>
      <c r="AL764" s="820" t="s">
        <v>21</v>
      </c>
      <c r="AM764" s="820" t="s">
        <v>21</v>
      </c>
      <c r="AN764" s="820" t="s">
        <v>21</v>
      </c>
      <c r="AO764" s="820" t="s">
        <v>21</v>
      </c>
      <c r="AP764" s="820" t="s">
        <v>21</v>
      </c>
    </row>
    <row r="765" spans="1:42" s="141" customFormat="1" ht="163.5" customHeight="1">
      <c r="A765" s="775" t="s">
        <v>1995</v>
      </c>
      <c r="B765" s="775" t="s">
        <v>1837</v>
      </c>
      <c r="C765" s="780">
        <v>44702</v>
      </c>
      <c r="D765" s="775" t="s">
        <v>212</v>
      </c>
      <c r="E765" s="775" t="s">
        <v>276</v>
      </c>
      <c r="F765" s="773" t="s">
        <v>1996</v>
      </c>
      <c r="G765" s="772">
        <v>100000000</v>
      </c>
      <c r="H765" s="757" t="s">
        <v>260</v>
      </c>
      <c r="I765" s="775" t="s">
        <v>194</v>
      </c>
      <c r="J765" s="658" t="str">
        <f>VLOOKUP($I765,Prices!A:B,2,0)</f>
        <v>.</v>
      </c>
      <c r="K765" s="790" t="s">
        <v>194</v>
      </c>
      <c r="L765" s="788" t="s">
        <v>194</v>
      </c>
      <c r="M765" s="788"/>
      <c r="N765" s="708" t="str">
        <f>VLOOKUP($I765,Prices!A:D,4,0)</f>
        <v>.</v>
      </c>
      <c r="O765" s="772" t="s">
        <v>194</v>
      </c>
      <c r="P765" s="793" t="s">
        <v>194</v>
      </c>
      <c r="Q765" s="772">
        <f>G765</f>
        <v>100000000</v>
      </c>
      <c r="R765" s="772">
        <f>Q765/VLOOKUP(H765,'Currency Conversion'!$B$2:$C$16,2,0)</f>
        <v>94696969.696969688</v>
      </c>
      <c r="S765" s="749" t="s">
        <v>194</v>
      </c>
      <c r="T765" s="757" t="s">
        <v>195</v>
      </c>
      <c r="U765" s="756" t="s">
        <v>1862</v>
      </c>
      <c r="V765" s="773" t="s">
        <v>194</v>
      </c>
      <c r="W765" s="773" t="s">
        <v>194</v>
      </c>
      <c r="X765" s="784" t="s">
        <v>194</v>
      </c>
      <c r="Y765" s="759">
        <v>0</v>
      </c>
      <c r="Z765" s="757">
        <v>0</v>
      </c>
      <c r="AA765" s="781" t="s">
        <v>194</v>
      </c>
      <c r="AB765" s="775"/>
      <c r="AC765" s="775"/>
      <c r="AD765" s="775"/>
      <c r="AE765" s="775"/>
      <c r="AF765" s="775"/>
      <c r="AG765" s="775"/>
      <c r="AH765" s="775"/>
      <c r="AI765" s="775"/>
      <c r="AJ765" s="775"/>
      <c r="AK765" s="775"/>
      <c r="AL765" s="775"/>
      <c r="AM765" s="775"/>
      <c r="AN765" s="775"/>
      <c r="AO765" s="775"/>
      <c r="AP765" s="775"/>
    </row>
    <row r="766" spans="1:42" s="141" customFormat="1" ht="63" customHeight="1">
      <c r="A766" s="775" t="s">
        <v>1997</v>
      </c>
      <c r="B766" s="775" t="s">
        <v>1837</v>
      </c>
      <c r="C766" s="780">
        <v>44606</v>
      </c>
      <c r="D766" s="775" t="s">
        <v>292</v>
      </c>
      <c r="E766" s="775" t="s">
        <v>804</v>
      </c>
      <c r="F766" s="656" t="s">
        <v>1998</v>
      </c>
      <c r="G766" s="778">
        <v>1000000000</v>
      </c>
      <c r="H766" s="757" t="s">
        <v>260</v>
      </c>
      <c r="I766" s="775" t="s">
        <v>194</v>
      </c>
      <c r="J766" s="658" t="str">
        <f>VLOOKUP($I766,Prices!A:B,2,0)</f>
        <v>.</v>
      </c>
      <c r="K766" s="790" t="s">
        <v>194</v>
      </c>
      <c r="L766" s="788" t="s">
        <v>194</v>
      </c>
      <c r="M766" s="788"/>
      <c r="N766" s="647" t="str">
        <f>VLOOKUP($I766,Prices!A:D,4,0)</f>
        <v>.</v>
      </c>
      <c r="O766" s="772" t="s">
        <v>194</v>
      </c>
      <c r="P766" s="793" t="s">
        <v>194</v>
      </c>
      <c r="Q766" s="778">
        <f t="shared" ref="Q766:Q768" si="52">G766</f>
        <v>1000000000</v>
      </c>
      <c r="R766" s="772">
        <f>Q766/VLOOKUP(H766,'Currency Conversion'!$B$2:$C$16,2,0)</f>
        <v>946969696.96969688</v>
      </c>
      <c r="S766" s="749" t="s">
        <v>194</v>
      </c>
      <c r="T766" s="759" t="s">
        <v>195</v>
      </c>
      <c r="U766" s="756" t="s">
        <v>1999</v>
      </c>
      <c r="V766" s="783" t="s">
        <v>194</v>
      </c>
      <c r="W766" s="783" t="s">
        <v>194</v>
      </c>
      <c r="X766" s="766" t="s">
        <v>194</v>
      </c>
      <c r="Y766" s="759">
        <v>0</v>
      </c>
      <c r="Z766" s="761">
        <v>0</v>
      </c>
      <c r="AA766" s="799" t="s">
        <v>194</v>
      </c>
      <c r="AB766" s="775"/>
      <c r="AC766" s="775"/>
      <c r="AD766" s="775"/>
      <c r="AE766" s="775"/>
      <c r="AF766" s="775"/>
      <c r="AG766" s="775"/>
      <c r="AH766" s="775"/>
      <c r="AI766" s="775"/>
      <c r="AJ766" s="775"/>
      <c r="AK766" s="775"/>
      <c r="AL766" s="775"/>
      <c r="AM766" s="775"/>
      <c r="AN766" s="775"/>
      <c r="AO766" s="775"/>
      <c r="AP766" s="775"/>
    </row>
    <row r="767" spans="1:42" s="141" customFormat="1" ht="94.5" customHeight="1">
      <c r="A767" s="775" t="s">
        <v>2000</v>
      </c>
      <c r="B767" s="775" t="s">
        <v>1837</v>
      </c>
      <c r="C767" s="780">
        <v>44650</v>
      </c>
      <c r="D767" s="775" t="s">
        <v>292</v>
      </c>
      <c r="E767" s="775" t="s">
        <v>276</v>
      </c>
      <c r="F767" s="773" t="s">
        <v>2001</v>
      </c>
      <c r="G767" s="772">
        <v>500000000</v>
      </c>
      <c r="H767" s="757" t="s">
        <v>260</v>
      </c>
      <c r="I767" s="775" t="s">
        <v>194</v>
      </c>
      <c r="J767" s="658" t="str">
        <f>VLOOKUP($I767,Prices!A:B,2,0)</f>
        <v>.</v>
      </c>
      <c r="K767" s="790" t="s">
        <v>194</v>
      </c>
      <c r="L767" s="788" t="s">
        <v>194</v>
      </c>
      <c r="M767" s="788"/>
      <c r="N767" s="708" t="str">
        <f>VLOOKUP($I767,Prices!A:D,4,0)</f>
        <v>.</v>
      </c>
      <c r="O767" s="772" t="s">
        <v>194</v>
      </c>
      <c r="P767" s="793" t="s">
        <v>194</v>
      </c>
      <c r="Q767" s="772">
        <f t="shared" si="52"/>
        <v>500000000</v>
      </c>
      <c r="R767" s="772">
        <f>Q767/VLOOKUP(H767,'Currency Conversion'!$B$2:$C$16,2,0)</f>
        <v>473484848.48484844</v>
      </c>
      <c r="S767" s="749" t="s">
        <v>194</v>
      </c>
      <c r="T767" s="757" t="s">
        <v>195</v>
      </c>
      <c r="U767" s="756" t="s">
        <v>2002</v>
      </c>
      <c r="V767" s="756" t="s">
        <v>2003</v>
      </c>
      <c r="W767" s="756" t="s">
        <v>2004</v>
      </c>
      <c r="X767" s="766" t="s">
        <v>194</v>
      </c>
      <c r="Y767" s="759">
        <v>1</v>
      </c>
      <c r="Z767" s="761">
        <v>0</v>
      </c>
      <c r="AA767" s="799" t="s">
        <v>194</v>
      </c>
      <c r="AB767" s="775"/>
      <c r="AC767" s="775"/>
      <c r="AD767" s="775"/>
      <c r="AE767" s="775"/>
      <c r="AF767" s="775"/>
      <c r="AG767" s="775"/>
      <c r="AH767" s="775"/>
      <c r="AI767" s="775"/>
      <c r="AJ767" s="775"/>
      <c r="AK767" s="775"/>
      <c r="AL767" s="775"/>
      <c r="AM767" s="775"/>
      <c r="AN767" s="775"/>
      <c r="AO767" s="775"/>
      <c r="AP767" s="775"/>
    </row>
    <row r="768" spans="1:42" s="141" customFormat="1" ht="66" customHeight="1">
      <c r="A768" s="775" t="s">
        <v>2005</v>
      </c>
      <c r="B768" s="775" t="s">
        <v>1837</v>
      </c>
      <c r="C768" s="780">
        <v>44672</v>
      </c>
      <c r="D768" s="775" t="s">
        <v>292</v>
      </c>
      <c r="E768" s="775" t="s">
        <v>351</v>
      </c>
      <c r="F768" s="773" t="s">
        <v>2006</v>
      </c>
      <c r="G768" s="772">
        <v>500000000</v>
      </c>
      <c r="H768" s="757" t="s">
        <v>260</v>
      </c>
      <c r="I768" s="775" t="s">
        <v>194</v>
      </c>
      <c r="J768" s="658" t="str">
        <f>VLOOKUP($I768,Prices!A:B,2,0)</f>
        <v>.</v>
      </c>
      <c r="K768" s="790" t="s">
        <v>194</v>
      </c>
      <c r="L768" s="788" t="s">
        <v>194</v>
      </c>
      <c r="M768" s="788"/>
      <c r="N768" s="647" t="str">
        <f>VLOOKUP($I768,Prices!A:D,4,0)</f>
        <v>.</v>
      </c>
      <c r="O768" s="772" t="s">
        <v>194</v>
      </c>
      <c r="P768" s="793" t="s">
        <v>194</v>
      </c>
      <c r="Q768" s="772">
        <f t="shared" si="52"/>
        <v>500000000</v>
      </c>
      <c r="R768" s="772">
        <f>Q768/VLOOKUP(H768,'Currency Conversion'!$B$2:$C$16,2,0)</f>
        <v>473484848.48484844</v>
      </c>
      <c r="S768" s="749" t="s">
        <v>194</v>
      </c>
      <c r="T768" s="757" t="s">
        <v>195</v>
      </c>
      <c r="U768" s="756" t="s">
        <v>2007</v>
      </c>
      <c r="V768" s="756" t="s">
        <v>2008</v>
      </c>
      <c r="W768" s="773" t="s">
        <v>194</v>
      </c>
      <c r="X768" s="784" t="s">
        <v>194</v>
      </c>
      <c r="Y768" s="759">
        <v>0</v>
      </c>
      <c r="Z768" s="757">
        <v>0</v>
      </c>
      <c r="AA768" s="781" t="s">
        <v>194</v>
      </c>
      <c r="AB768" s="775"/>
      <c r="AC768" s="775"/>
      <c r="AD768" s="775"/>
      <c r="AE768" s="775"/>
      <c r="AF768" s="775"/>
      <c r="AG768" s="775"/>
      <c r="AH768" s="775"/>
      <c r="AI768" s="775"/>
      <c r="AJ768" s="775"/>
      <c r="AK768" s="775"/>
      <c r="AL768" s="775"/>
      <c r="AM768" s="775"/>
      <c r="AN768" s="775"/>
      <c r="AO768" s="775"/>
      <c r="AP768" s="775"/>
    </row>
    <row r="769" spans="1:42" s="637" customFormat="1" ht="242.25" customHeight="1">
      <c r="A769" s="766" t="s">
        <v>2009</v>
      </c>
      <c r="B769" s="766" t="s">
        <v>1837</v>
      </c>
      <c r="C769" s="776">
        <v>44702</v>
      </c>
      <c r="D769" s="766" t="s">
        <v>292</v>
      </c>
      <c r="E769" s="766" t="s">
        <v>276</v>
      </c>
      <c r="F769" s="765" t="s">
        <v>2010</v>
      </c>
      <c r="G769" s="778">
        <v>8006000000</v>
      </c>
      <c r="H769" s="759" t="s">
        <v>260</v>
      </c>
      <c r="I769" s="766" t="s">
        <v>194</v>
      </c>
      <c r="J769" s="658" t="str">
        <f>VLOOKUP($I769,Prices!A:B,2,0)</f>
        <v>.</v>
      </c>
      <c r="K769" s="790" t="s">
        <v>194</v>
      </c>
      <c r="L769" s="665" t="s">
        <v>194</v>
      </c>
      <c r="M769" s="665"/>
      <c r="N769" s="708" t="str">
        <f>VLOOKUP($I769,Prices!A:D,4,0)</f>
        <v>.</v>
      </c>
      <c r="O769" s="778" t="s">
        <v>194</v>
      </c>
      <c r="P769" s="793" t="s">
        <v>194</v>
      </c>
      <c r="Q769" s="778">
        <f>G769</f>
        <v>8006000000</v>
      </c>
      <c r="R769" s="778">
        <f>Q769/VLOOKUP(H769,'Currency Conversion'!$B$2:$C$16,2,0)</f>
        <v>7581439393.939394</v>
      </c>
      <c r="S769" s="790" t="s">
        <v>194</v>
      </c>
      <c r="T769" s="759" t="s">
        <v>195</v>
      </c>
      <c r="U769" s="756" t="s">
        <v>1862</v>
      </c>
      <c r="V769" s="756" t="s">
        <v>2011</v>
      </c>
      <c r="W769" s="765" t="s">
        <v>194</v>
      </c>
      <c r="X769" s="811" t="s">
        <v>194</v>
      </c>
      <c r="Y769" s="759">
        <v>0</v>
      </c>
      <c r="Z769" s="759">
        <v>0</v>
      </c>
      <c r="AA769" s="679" t="s">
        <v>194</v>
      </c>
      <c r="AB769" s="766"/>
      <c r="AC769" s="766"/>
      <c r="AD769" s="766"/>
      <c r="AE769" s="766"/>
      <c r="AF769" s="766"/>
      <c r="AG769" s="766"/>
      <c r="AH769" s="766"/>
      <c r="AI769" s="766"/>
      <c r="AJ769" s="766"/>
      <c r="AK769" s="766"/>
      <c r="AL769" s="766"/>
      <c r="AM769" s="766"/>
      <c r="AN769" s="766"/>
      <c r="AO769" s="766"/>
      <c r="AP769" s="766"/>
    </row>
    <row r="770" spans="1:42" s="141" customFormat="1" ht="198.75" customHeight="1">
      <c r="A770" s="775" t="s">
        <v>2012</v>
      </c>
      <c r="B770" s="775" t="s">
        <v>1837</v>
      </c>
      <c r="C770" s="780">
        <v>44702</v>
      </c>
      <c r="D770" s="775" t="s">
        <v>292</v>
      </c>
      <c r="E770" s="775" t="s">
        <v>276</v>
      </c>
      <c r="F770" s="773" t="s">
        <v>2013</v>
      </c>
      <c r="G770" s="772">
        <v>500000000</v>
      </c>
      <c r="H770" s="757" t="s">
        <v>260</v>
      </c>
      <c r="I770" s="775" t="s">
        <v>194</v>
      </c>
      <c r="J770" s="658" t="str">
        <f>VLOOKUP($I770,Prices!A:B,2,0)</f>
        <v>.</v>
      </c>
      <c r="K770" s="790" t="s">
        <v>194</v>
      </c>
      <c r="L770" s="788" t="s">
        <v>194</v>
      </c>
      <c r="M770" s="788"/>
      <c r="N770" s="647" t="str">
        <f>VLOOKUP($I770,Prices!A:D,4,0)</f>
        <v>.</v>
      </c>
      <c r="O770" s="772" t="s">
        <v>194</v>
      </c>
      <c r="P770" s="793" t="s">
        <v>194</v>
      </c>
      <c r="Q770" s="772">
        <f>G770</f>
        <v>500000000</v>
      </c>
      <c r="R770" s="772">
        <f>Q770/VLOOKUP(H770,'Currency Conversion'!$B$2:$C$16,2,0)</f>
        <v>473484848.48484844</v>
      </c>
      <c r="S770" s="749" t="s">
        <v>194</v>
      </c>
      <c r="T770" s="757" t="s">
        <v>195</v>
      </c>
      <c r="U770" s="756" t="s">
        <v>1862</v>
      </c>
      <c r="V770" s="773" t="s">
        <v>194</v>
      </c>
      <c r="W770" s="773" t="s">
        <v>194</v>
      </c>
      <c r="X770" s="784" t="s">
        <v>194</v>
      </c>
      <c r="Y770" s="759">
        <v>1</v>
      </c>
      <c r="Z770" s="757">
        <v>0</v>
      </c>
      <c r="AA770" s="781" t="s">
        <v>194</v>
      </c>
      <c r="AB770" s="775"/>
      <c r="AC770" s="775"/>
      <c r="AD770" s="775"/>
      <c r="AE770" s="775"/>
      <c r="AF770" s="775"/>
      <c r="AG770" s="775"/>
      <c r="AH770" s="775"/>
      <c r="AI770" s="775"/>
      <c r="AJ770" s="775"/>
      <c r="AK770" s="775"/>
      <c r="AL770" s="775"/>
      <c r="AM770" s="775"/>
      <c r="AN770" s="775"/>
      <c r="AO770" s="775"/>
      <c r="AP770" s="775"/>
    </row>
    <row r="771" spans="1:42" s="660" customFormat="1" ht="82.5" customHeight="1">
      <c r="A771" s="819" t="s">
        <v>2014</v>
      </c>
      <c r="B771" s="819" t="s">
        <v>2015</v>
      </c>
      <c r="C771" s="818" t="s">
        <v>1784</v>
      </c>
      <c r="D771" s="819" t="s">
        <v>190</v>
      </c>
      <c r="E771" s="819" t="s">
        <v>191</v>
      </c>
      <c r="F771" s="752" t="s">
        <v>2016</v>
      </c>
      <c r="G771" s="793"/>
      <c r="H771" s="823" t="s">
        <v>194</v>
      </c>
      <c r="I771" s="819" t="s">
        <v>194</v>
      </c>
      <c r="J771" s="658" t="str">
        <f>VLOOKUP($I771,Prices!A:B,2,0)</f>
        <v>.</v>
      </c>
      <c r="K771" s="790" t="s">
        <v>194</v>
      </c>
      <c r="L771" s="643" t="s">
        <v>194</v>
      </c>
      <c r="M771" s="643" t="s">
        <v>194</v>
      </c>
      <c r="N771" s="708" t="str">
        <f>VLOOKUP($I771,Prices!A:D,4,0)</f>
        <v>.</v>
      </c>
      <c r="O771" s="793" t="s">
        <v>194</v>
      </c>
      <c r="P771" s="793" t="s">
        <v>194</v>
      </c>
      <c r="Q771" s="793" t="s">
        <v>194</v>
      </c>
      <c r="R771" s="793" t="s">
        <v>194</v>
      </c>
      <c r="S771" s="649" t="s">
        <v>194</v>
      </c>
      <c r="T771" s="823" t="s">
        <v>195</v>
      </c>
      <c r="U771" s="756" t="s">
        <v>2017</v>
      </c>
      <c r="V771" s="773" t="s">
        <v>194</v>
      </c>
      <c r="W771" s="773" t="s">
        <v>194</v>
      </c>
      <c r="X771" s="784" t="s">
        <v>194</v>
      </c>
      <c r="Y771" s="759">
        <v>0</v>
      </c>
      <c r="Z771" s="757">
        <v>0</v>
      </c>
      <c r="AA771" s="791" t="s">
        <v>194</v>
      </c>
      <c r="AB771" s="773"/>
      <c r="AC771" s="773"/>
      <c r="AD771" s="773"/>
      <c r="AE771" s="773"/>
      <c r="AF771" s="773"/>
      <c r="AG771" s="773"/>
      <c r="AH771" s="773"/>
      <c r="AI771" s="773"/>
      <c r="AJ771" s="773"/>
      <c r="AK771" s="773"/>
      <c r="AL771" s="773"/>
      <c r="AM771" s="773"/>
      <c r="AN771" s="773"/>
      <c r="AO771" s="773"/>
      <c r="AP771" s="773"/>
    </row>
    <row r="772" spans="1:42" s="141" customFormat="1" ht="51.95" customHeight="1">
      <c r="A772" s="775" t="s">
        <v>2018</v>
      </c>
      <c r="B772" s="819" t="s">
        <v>2015</v>
      </c>
      <c r="C772" s="780">
        <v>44621</v>
      </c>
      <c r="D772" s="775" t="s">
        <v>190</v>
      </c>
      <c r="E772" s="775" t="s">
        <v>191</v>
      </c>
      <c r="F772" s="773" t="s">
        <v>2019</v>
      </c>
      <c r="G772" s="772">
        <v>415000000</v>
      </c>
      <c r="H772" s="757" t="s">
        <v>278</v>
      </c>
      <c r="I772" s="775" t="s">
        <v>194</v>
      </c>
      <c r="J772" s="658" t="str">
        <f>VLOOKUP($I772,Prices!A:B,2,0)</f>
        <v>.</v>
      </c>
      <c r="K772" s="790" t="s">
        <v>194</v>
      </c>
      <c r="L772" s="788" t="s">
        <v>194</v>
      </c>
      <c r="M772" s="680" t="str">
        <f>VLOOKUP(I772,Prices!A:B,2,0)</f>
        <v>.</v>
      </c>
      <c r="N772" s="647" t="str">
        <f>VLOOKUP($I772,Prices!A:D,4,0)</f>
        <v>.</v>
      </c>
      <c r="O772" s="793" t="s">
        <v>194</v>
      </c>
      <c r="P772" s="793" t="s">
        <v>194</v>
      </c>
      <c r="Q772" s="772">
        <f t="shared" ref="Q772:Q784" si="53">G772</f>
        <v>415000000</v>
      </c>
      <c r="R772" s="772">
        <f>Q772/VLOOKUP(H772,'Currency Conversion'!$B$2:$C$16,2,0)</f>
        <v>415000000</v>
      </c>
      <c r="S772" s="749" t="s">
        <v>194</v>
      </c>
      <c r="T772" s="757" t="s">
        <v>195</v>
      </c>
      <c r="U772" s="756" t="s">
        <v>2020</v>
      </c>
      <c r="V772" s="756" t="s">
        <v>2021</v>
      </c>
      <c r="W772" s="773" t="s">
        <v>194</v>
      </c>
      <c r="X772" s="784" t="s">
        <v>194</v>
      </c>
      <c r="Y772" s="786">
        <v>0</v>
      </c>
      <c r="Z772" s="757">
        <v>0</v>
      </c>
      <c r="AA772" s="781" t="s">
        <v>194</v>
      </c>
      <c r="AB772" s="775"/>
      <c r="AC772" s="775"/>
      <c r="AD772" s="775"/>
      <c r="AE772" s="775"/>
      <c r="AF772" s="775"/>
      <c r="AG772" s="775"/>
      <c r="AH772" s="775"/>
      <c r="AI772" s="775"/>
      <c r="AJ772" s="775"/>
      <c r="AK772" s="775"/>
      <c r="AL772" s="775"/>
      <c r="AM772" s="775"/>
      <c r="AN772" s="775"/>
      <c r="AO772" s="775"/>
      <c r="AP772" s="775"/>
    </row>
    <row r="773" spans="1:42" s="141" customFormat="1" ht="52.35" customHeight="1">
      <c r="A773" s="750" t="s">
        <v>2022</v>
      </c>
      <c r="B773" s="819" t="s">
        <v>2015</v>
      </c>
      <c r="C773" s="751">
        <v>44660</v>
      </c>
      <c r="D773" s="750" t="s">
        <v>190</v>
      </c>
      <c r="E773" s="750" t="s">
        <v>191</v>
      </c>
      <c r="F773" s="752" t="s">
        <v>2023</v>
      </c>
      <c r="G773" s="772">
        <v>600000000</v>
      </c>
      <c r="H773" s="757" t="s">
        <v>278</v>
      </c>
      <c r="I773" s="775" t="s">
        <v>194</v>
      </c>
      <c r="J773" s="658" t="str">
        <f>VLOOKUP($I773,Prices!A:B,2,0)</f>
        <v>.</v>
      </c>
      <c r="K773" s="790" t="s">
        <v>194</v>
      </c>
      <c r="L773" s="788" t="s">
        <v>194</v>
      </c>
      <c r="M773" s="680" t="str">
        <f>VLOOKUP(I773,Prices!A:B,2,0)</f>
        <v>.</v>
      </c>
      <c r="N773" s="708" t="str">
        <f>VLOOKUP($I773,Prices!A:D,4,0)</f>
        <v>.</v>
      </c>
      <c r="O773" s="793" t="s">
        <v>194</v>
      </c>
      <c r="P773" s="793" t="s">
        <v>194</v>
      </c>
      <c r="Q773" s="772">
        <f t="shared" si="53"/>
        <v>600000000</v>
      </c>
      <c r="R773" s="772">
        <f>Q773/VLOOKUP(H773,'Currency Conversion'!$B$2:$C$16,2,0)</f>
        <v>600000000</v>
      </c>
      <c r="S773" s="749" t="s">
        <v>194</v>
      </c>
      <c r="T773" s="757" t="s">
        <v>195</v>
      </c>
      <c r="U773" s="756" t="s">
        <v>309</v>
      </c>
      <c r="V773" s="756" t="s">
        <v>2024</v>
      </c>
      <c r="W773" s="773" t="s">
        <v>194</v>
      </c>
      <c r="X773" s="784" t="s">
        <v>194</v>
      </c>
      <c r="Y773" s="786">
        <v>0</v>
      </c>
      <c r="Z773" s="757">
        <v>0</v>
      </c>
      <c r="AA773" s="692" t="s">
        <v>194</v>
      </c>
      <c r="AB773" s="693" t="s">
        <v>21</v>
      </c>
      <c r="AC773" s="775"/>
      <c r="AD773" s="775"/>
      <c r="AE773" s="775"/>
      <c r="AF773" s="775"/>
      <c r="AG773" s="775"/>
      <c r="AH773" s="775"/>
      <c r="AI773" s="775"/>
      <c r="AJ773" s="775"/>
      <c r="AK773" s="775"/>
      <c r="AL773" s="775"/>
      <c r="AM773" s="775"/>
      <c r="AN773" s="775"/>
      <c r="AO773" s="775"/>
      <c r="AP773" s="775"/>
    </row>
    <row r="774" spans="1:42" s="141" customFormat="1" ht="48.75" customHeight="1">
      <c r="A774" s="775" t="s">
        <v>2025</v>
      </c>
      <c r="B774" s="819" t="s">
        <v>2015</v>
      </c>
      <c r="C774" s="780">
        <v>44686</v>
      </c>
      <c r="D774" s="750" t="s">
        <v>190</v>
      </c>
      <c r="E774" s="750" t="s">
        <v>191</v>
      </c>
      <c r="F774" s="789" t="s">
        <v>2026</v>
      </c>
      <c r="G774" s="772">
        <v>200000000</v>
      </c>
      <c r="H774" s="757" t="s">
        <v>278</v>
      </c>
      <c r="I774" s="775" t="s">
        <v>194</v>
      </c>
      <c r="J774" s="658" t="str">
        <f>VLOOKUP($I774,Prices!A:B,2,0)</f>
        <v>.</v>
      </c>
      <c r="K774" s="790" t="s">
        <v>194</v>
      </c>
      <c r="L774" s="788" t="s">
        <v>194</v>
      </c>
      <c r="M774" s="680" t="str">
        <f>VLOOKUP(I774,Prices!A:B,2,0)</f>
        <v>.</v>
      </c>
      <c r="N774" s="647" t="str">
        <f>VLOOKUP($I774,Prices!A:D,4,0)</f>
        <v>.</v>
      </c>
      <c r="O774" s="793" t="s">
        <v>194</v>
      </c>
      <c r="P774" s="793" t="s">
        <v>194</v>
      </c>
      <c r="Q774" s="772">
        <f t="shared" si="53"/>
        <v>200000000</v>
      </c>
      <c r="R774" s="772">
        <f>Q774/VLOOKUP(H774,'Currency Conversion'!$B$2:$C$16,2,0)</f>
        <v>200000000</v>
      </c>
      <c r="S774" s="749" t="s">
        <v>194</v>
      </c>
      <c r="T774" s="757" t="s">
        <v>298</v>
      </c>
      <c r="U774" s="756" t="s">
        <v>312</v>
      </c>
      <c r="V774" s="756" t="s">
        <v>2027</v>
      </c>
      <c r="W774" s="752" t="s">
        <v>194</v>
      </c>
      <c r="X774" s="819" t="s">
        <v>194</v>
      </c>
      <c r="Y774" s="786">
        <v>0</v>
      </c>
      <c r="Z774" s="757">
        <v>0</v>
      </c>
      <c r="AA774" s="692" t="s">
        <v>194</v>
      </c>
      <c r="AB774" s="693"/>
      <c r="AC774" s="775"/>
      <c r="AD774" s="775"/>
      <c r="AE774" s="775"/>
      <c r="AF774" s="775"/>
      <c r="AG774" s="775"/>
      <c r="AH774" s="775"/>
      <c r="AI774" s="775"/>
      <c r="AJ774" s="775"/>
      <c r="AK774" s="775"/>
      <c r="AL774" s="775"/>
      <c r="AM774" s="775"/>
      <c r="AN774" s="775"/>
      <c r="AO774" s="775"/>
      <c r="AP774" s="775"/>
    </row>
    <row r="775" spans="1:42" s="141" customFormat="1" ht="48.75" customHeight="1">
      <c r="A775" s="775" t="s">
        <v>2028</v>
      </c>
      <c r="B775" s="819" t="s">
        <v>2015</v>
      </c>
      <c r="C775" s="780">
        <v>44721</v>
      </c>
      <c r="D775" s="750" t="s">
        <v>190</v>
      </c>
      <c r="E775" s="750" t="s">
        <v>191</v>
      </c>
      <c r="F775" s="789" t="s">
        <v>2029</v>
      </c>
      <c r="G775" s="772">
        <v>205000000</v>
      </c>
      <c r="H775" s="757" t="s">
        <v>278</v>
      </c>
      <c r="I775" s="775" t="s">
        <v>194</v>
      </c>
      <c r="J775" s="658" t="str">
        <f>VLOOKUP($I775,Prices!A:B,2,0)</f>
        <v>.</v>
      </c>
      <c r="K775" s="790" t="s">
        <v>194</v>
      </c>
      <c r="L775" s="788" t="s">
        <v>194</v>
      </c>
      <c r="M775" s="680" t="s">
        <v>194</v>
      </c>
      <c r="N775" s="647" t="s">
        <v>194</v>
      </c>
      <c r="O775" s="793" t="s">
        <v>194</v>
      </c>
      <c r="P775" s="793" t="s">
        <v>194</v>
      </c>
      <c r="Q775" s="772">
        <f t="shared" si="53"/>
        <v>205000000</v>
      </c>
      <c r="R775" s="772">
        <f>Q775/VLOOKUP(H775,'Currency Conversion'!$B$2:$C$16,2,0)</f>
        <v>205000000</v>
      </c>
      <c r="S775" s="749" t="s">
        <v>194</v>
      </c>
      <c r="T775" s="757" t="s">
        <v>195</v>
      </c>
      <c r="U775" s="756" t="s">
        <v>2030</v>
      </c>
      <c r="V775" s="756"/>
      <c r="W775" s="752"/>
      <c r="X775" s="819"/>
      <c r="Y775" s="786">
        <v>0</v>
      </c>
      <c r="Z775" s="757">
        <v>1</v>
      </c>
      <c r="AA775" s="692" t="s">
        <v>194</v>
      </c>
      <c r="AB775" s="693"/>
      <c r="AC775" s="775"/>
      <c r="AD775" s="775"/>
      <c r="AE775" s="775"/>
      <c r="AF775" s="775"/>
      <c r="AG775" s="775"/>
      <c r="AH775" s="775"/>
      <c r="AI775" s="775"/>
      <c r="AJ775" s="775"/>
      <c r="AK775" s="775"/>
      <c r="AL775" s="775"/>
      <c r="AM775" s="775"/>
      <c r="AN775" s="775"/>
      <c r="AO775" s="775"/>
      <c r="AP775" s="775"/>
    </row>
    <row r="776" spans="1:42" s="660" customFormat="1" ht="74.25" customHeight="1">
      <c r="A776" s="819" t="s">
        <v>2031</v>
      </c>
      <c r="B776" s="819" t="s">
        <v>2015</v>
      </c>
      <c r="C776" s="818">
        <v>44613</v>
      </c>
      <c r="D776" s="819" t="s">
        <v>292</v>
      </c>
      <c r="E776" s="819" t="s">
        <v>351</v>
      </c>
      <c r="F776" s="752" t="s">
        <v>2032</v>
      </c>
      <c r="G776" s="793">
        <v>1200000000</v>
      </c>
      <c r="H776" s="823" t="s">
        <v>278</v>
      </c>
      <c r="I776" s="793" t="s">
        <v>194</v>
      </c>
      <c r="J776" s="658" t="str">
        <f>VLOOKUP($I776,Prices!A:B,2,0)</f>
        <v>.</v>
      </c>
      <c r="K776" s="790" t="s">
        <v>194</v>
      </c>
      <c r="L776" s="643" t="s">
        <v>194</v>
      </c>
      <c r="M776" s="680" t="str">
        <f>VLOOKUP(I776,Prices!A:B,2,0)</f>
        <v>.</v>
      </c>
      <c r="N776" s="708" t="str">
        <f>VLOOKUP($I776,Prices!A:D,4,0)</f>
        <v>.</v>
      </c>
      <c r="O776" s="793" t="s">
        <v>194</v>
      </c>
      <c r="P776" s="793" t="s">
        <v>194</v>
      </c>
      <c r="Q776" s="772">
        <f t="shared" si="53"/>
        <v>1200000000</v>
      </c>
      <c r="R776" s="772">
        <f>Q776/VLOOKUP(H776,'Currency Conversion'!$B$2:$C$16,2,0)</f>
        <v>1200000000</v>
      </c>
      <c r="S776" s="749" t="s">
        <v>194</v>
      </c>
      <c r="T776" s="823" t="s">
        <v>195</v>
      </c>
      <c r="U776" s="756" t="s">
        <v>2033</v>
      </c>
      <c r="V776" s="752" t="s">
        <v>194</v>
      </c>
      <c r="W776" s="752" t="s">
        <v>194</v>
      </c>
      <c r="X776" s="819" t="s">
        <v>194</v>
      </c>
      <c r="Y776" s="786">
        <v>0</v>
      </c>
      <c r="Z776" s="757">
        <v>0</v>
      </c>
      <c r="AA776" s="791" t="s">
        <v>194</v>
      </c>
      <c r="AB776" s="773"/>
      <c r="AC776" s="773"/>
      <c r="AD776" s="773"/>
      <c r="AE776" s="773"/>
      <c r="AF776" s="773"/>
      <c r="AG776" s="773"/>
      <c r="AH776" s="773"/>
      <c r="AI776" s="773"/>
      <c r="AJ776" s="773"/>
      <c r="AK776" s="773"/>
      <c r="AL776" s="773"/>
      <c r="AM776" s="773"/>
      <c r="AN776" s="773"/>
      <c r="AO776" s="773"/>
      <c r="AP776" s="773"/>
    </row>
    <row r="777" spans="1:42" s="660" customFormat="1" ht="48" customHeight="1">
      <c r="A777" s="819" t="s">
        <v>2034</v>
      </c>
      <c r="B777" s="819" t="s">
        <v>2015</v>
      </c>
      <c r="C777" s="818">
        <v>44659</v>
      </c>
      <c r="D777" s="819" t="s">
        <v>292</v>
      </c>
      <c r="E777" s="819" t="s">
        <v>276</v>
      </c>
      <c r="F777" s="752" t="s">
        <v>2035</v>
      </c>
      <c r="G777" s="793">
        <v>120000000</v>
      </c>
      <c r="H777" s="823" t="s">
        <v>278</v>
      </c>
      <c r="I777" s="793" t="s">
        <v>194</v>
      </c>
      <c r="J777" s="658" t="str">
        <f>VLOOKUP($I777,Prices!A:B,2,0)</f>
        <v>.</v>
      </c>
      <c r="K777" s="790" t="s">
        <v>194</v>
      </c>
      <c r="L777" s="643" t="s">
        <v>194</v>
      </c>
      <c r="M777" s="680" t="str">
        <f>VLOOKUP(I777,Prices!A:B,2,0)</f>
        <v>.</v>
      </c>
      <c r="N777" s="647" t="str">
        <f>VLOOKUP($I777,Prices!A:D,4,0)</f>
        <v>.</v>
      </c>
      <c r="O777" s="793" t="s">
        <v>194</v>
      </c>
      <c r="P777" s="793" t="s">
        <v>194</v>
      </c>
      <c r="Q777" s="772">
        <f t="shared" si="53"/>
        <v>120000000</v>
      </c>
      <c r="R777" s="772">
        <f>Q777/VLOOKUP(H777,'Currency Conversion'!$B$2:$C$16,2,0)</f>
        <v>120000000</v>
      </c>
      <c r="S777" s="749" t="s">
        <v>194</v>
      </c>
      <c r="T777" s="823" t="s">
        <v>195</v>
      </c>
      <c r="U777" s="756" t="s">
        <v>2036</v>
      </c>
      <c r="V777" s="756" t="s">
        <v>2037</v>
      </c>
      <c r="W777" s="752" t="s">
        <v>194</v>
      </c>
      <c r="X777" s="819" t="s">
        <v>194</v>
      </c>
      <c r="Y777" s="786">
        <v>0</v>
      </c>
      <c r="Z777" s="757">
        <v>0</v>
      </c>
      <c r="AA777" s="791" t="s">
        <v>194</v>
      </c>
      <c r="AB777" s="773"/>
      <c r="AC777" s="773"/>
      <c r="AD777" s="773"/>
      <c r="AE777" s="773"/>
      <c r="AF777" s="773"/>
      <c r="AG777" s="773"/>
      <c r="AH777" s="773"/>
      <c r="AI777" s="773"/>
      <c r="AJ777" s="773"/>
      <c r="AK777" s="773"/>
      <c r="AL777" s="773"/>
      <c r="AM777" s="773"/>
      <c r="AN777" s="773"/>
      <c r="AO777" s="773"/>
      <c r="AP777" s="773"/>
    </row>
    <row r="778" spans="1:42" s="660" customFormat="1" ht="74.25" customHeight="1">
      <c r="A778" s="819" t="s">
        <v>2038</v>
      </c>
      <c r="B778" s="819" t="s">
        <v>2015</v>
      </c>
      <c r="C778" s="818">
        <v>44699</v>
      </c>
      <c r="D778" s="819" t="s">
        <v>292</v>
      </c>
      <c r="E778" s="819" t="s">
        <v>351</v>
      </c>
      <c r="F778" s="752" t="s">
        <v>2039</v>
      </c>
      <c r="G778" s="793">
        <v>9000000000</v>
      </c>
      <c r="H778" s="823" t="s">
        <v>278</v>
      </c>
      <c r="I778" s="793" t="s">
        <v>194</v>
      </c>
      <c r="J778" s="658" t="str">
        <f>VLOOKUP($I778,Prices!A:B,2,0)</f>
        <v>.</v>
      </c>
      <c r="K778" s="790" t="s">
        <v>194</v>
      </c>
      <c r="L778" s="643" t="s">
        <v>194</v>
      </c>
      <c r="M778" s="680" t="str">
        <f>VLOOKUP(I778,Prices!A:B,2,0)</f>
        <v>.</v>
      </c>
      <c r="N778" s="708" t="str">
        <f>VLOOKUP($I778,Prices!A:D,4,0)</f>
        <v>.</v>
      </c>
      <c r="O778" s="793" t="s">
        <v>194</v>
      </c>
      <c r="P778" s="793" t="s">
        <v>194</v>
      </c>
      <c r="Q778" s="772">
        <f t="shared" si="53"/>
        <v>9000000000</v>
      </c>
      <c r="R778" s="772">
        <f>Q778/VLOOKUP(H778,'Currency Conversion'!$B$2:$C$16,2,0)</f>
        <v>9000000000</v>
      </c>
      <c r="S778" s="749" t="s">
        <v>194</v>
      </c>
      <c r="T778" s="823" t="s">
        <v>195</v>
      </c>
      <c r="U778" s="756" t="s">
        <v>2040</v>
      </c>
      <c r="V778" s="756" t="s">
        <v>2041</v>
      </c>
      <c r="W778" s="756" t="s">
        <v>2042</v>
      </c>
      <c r="X778" s="819" t="s">
        <v>194</v>
      </c>
      <c r="Y778" s="786">
        <v>0</v>
      </c>
      <c r="Z778" s="757">
        <v>0</v>
      </c>
      <c r="AA778" s="791" t="s">
        <v>194</v>
      </c>
      <c r="AB778" s="773"/>
      <c r="AC778" s="773"/>
      <c r="AD778" s="773"/>
      <c r="AE778" s="773"/>
      <c r="AF778" s="773"/>
      <c r="AG778" s="773"/>
      <c r="AH778" s="773"/>
      <c r="AI778" s="773"/>
      <c r="AJ778" s="773"/>
      <c r="AK778" s="773"/>
      <c r="AL778" s="773"/>
      <c r="AM778" s="773"/>
      <c r="AN778" s="773"/>
      <c r="AO778" s="773"/>
      <c r="AP778" s="773"/>
    </row>
    <row r="779" spans="1:42" s="141" customFormat="1" ht="59.25" customHeight="1">
      <c r="A779" s="775" t="s">
        <v>2043</v>
      </c>
      <c r="B779" s="819" t="s">
        <v>2044</v>
      </c>
      <c r="C779" s="818">
        <v>44619</v>
      </c>
      <c r="D779" s="819" t="s">
        <v>212</v>
      </c>
      <c r="E779" s="819" t="s">
        <v>2044</v>
      </c>
      <c r="F779" s="752" t="s">
        <v>2045</v>
      </c>
      <c r="G779" s="793">
        <v>500000000</v>
      </c>
      <c r="H779" s="757" t="s">
        <v>278</v>
      </c>
      <c r="I779" s="793" t="s">
        <v>194</v>
      </c>
      <c r="J779" s="658" t="str">
        <f>VLOOKUP($I779,Prices!A:B,2,0)</f>
        <v>.</v>
      </c>
      <c r="K779" s="790" t="s">
        <v>194</v>
      </c>
      <c r="L779" s="643" t="s">
        <v>194</v>
      </c>
      <c r="M779" s="643" t="s">
        <v>194</v>
      </c>
      <c r="N779" s="647" t="str">
        <f>VLOOKUP($I779,Prices!A:D,4,0)</f>
        <v>.</v>
      </c>
      <c r="O779" s="793" t="s">
        <v>194</v>
      </c>
      <c r="P779" s="793" t="s">
        <v>194</v>
      </c>
      <c r="Q779" s="772">
        <f t="shared" si="53"/>
        <v>500000000</v>
      </c>
      <c r="R779" s="772">
        <f>Q779/VLOOKUP(H779,'Currency Conversion'!$B$2:$C$16,2,0)</f>
        <v>500000000</v>
      </c>
      <c r="S779" s="749" t="s">
        <v>194</v>
      </c>
      <c r="T779" s="823" t="s">
        <v>195</v>
      </c>
      <c r="U779" s="756" t="s">
        <v>2046</v>
      </c>
      <c r="V779" s="752" t="s">
        <v>194</v>
      </c>
      <c r="W779" s="752" t="s">
        <v>194</v>
      </c>
      <c r="X779" s="819" t="s">
        <v>194</v>
      </c>
      <c r="Y779" s="757">
        <v>0</v>
      </c>
      <c r="Z779" s="757">
        <v>0</v>
      </c>
      <c r="AA779" s="781" t="s">
        <v>194</v>
      </c>
      <c r="AB779" s="775"/>
      <c r="AC779" s="775"/>
      <c r="AD779" s="775"/>
      <c r="AE779" s="775"/>
      <c r="AF779" s="775"/>
      <c r="AG779" s="775"/>
      <c r="AH779" s="775"/>
      <c r="AI779" s="775"/>
      <c r="AJ779" s="775"/>
      <c r="AK779" s="775"/>
      <c r="AL779" s="775"/>
      <c r="AM779" s="775"/>
      <c r="AN779" s="775"/>
      <c r="AO779" s="775"/>
      <c r="AP779" s="775"/>
    </row>
    <row r="780" spans="1:42" s="141" customFormat="1" ht="54.75" customHeight="1">
      <c r="A780" s="775" t="s">
        <v>2047</v>
      </c>
      <c r="B780" s="819" t="s">
        <v>2044</v>
      </c>
      <c r="C780" s="818">
        <v>44643</v>
      </c>
      <c r="D780" s="819" t="s">
        <v>212</v>
      </c>
      <c r="E780" s="819" t="s">
        <v>2044</v>
      </c>
      <c r="F780" s="752" t="s">
        <v>2048</v>
      </c>
      <c r="G780" s="793">
        <v>500000000</v>
      </c>
      <c r="H780" s="757" t="s">
        <v>278</v>
      </c>
      <c r="I780" s="793" t="s">
        <v>194</v>
      </c>
      <c r="J780" s="658" t="str">
        <f>VLOOKUP($I780,Prices!A:B,2,0)</f>
        <v>.</v>
      </c>
      <c r="K780" s="790" t="s">
        <v>194</v>
      </c>
      <c r="L780" s="643" t="s">
        <v>194</v>
      </c>
      <c r="M780" s="643" t="s">
        <v>194</v>
      </c>
      <c r="N780" s="708" t="str">
        <f>VLOOKUP($I780,Prices!A:D,4,0)</f>
        <v>.</v>
      </c>
      <c r="O780" s="793" t="s">
        <v>194</v>
      </c>
      <c r="P780" s="793" t="s">
        <v>194</v>
      </c>
      <c r="Q780" s="772">
        <f t="shared" si="53"/>
        <v>500000000</v>
      </c>
      <c r="R780" s="772">
        <f>Q780/VLOOKUP(H780,'Currency Conversion'!$B$2:$C$16,2,0)</f>
        <v>500000000</v>
      </c>
      <c r="S780" s="749" t="s">
        <v>194</v>
      </c>
      <c r="T780" s="823" t="s">
        <v>195</v>
      </c>
      <c r="U780" s="756" t="s">
        <v>2046</v>
      </c>
      <c r="V780" s="752" t="s">
        <v>194</v>
      </c>
      <c r="W780" s="752" t="s">
        <v>194</v>
      </c>
      <c r="X780" s="819" t="s">
        <v>194</v>
      </c>
      <c r="Y780" s="757">
        <v>0</v>
      </c>
      <c r="Z780" s="757">
        <v>0</v>
      </c>
      <c r="AA780" s="781" t="s">
        <v>194</v>
      </c>
      <c r="AB780" s="775"/>
      <c r="AC780" s="775"/>
      <c r="AD780" s="775"/>
      <c r="AE780" s="775"/>
      <c r="AF780" s="775"/>
      <c r="AG780" s="775"/>
      <c r="AH780" s="775"/>
      <c r="AI780" s="775"/>
      <c r="AJ780" s="775"/>
      <c r="AK780" s="775"/>
      <c r="AL780" s="775"/>
      <c r="AM780" s="775"/>
      <c r="AN780" s="775"/>
      <c r="AO780" s="775"/>
      <c r="AP780" s="775"/>
    </row>
    <row r="781" spans="1:42" s="141" customFormat="1" ht="62.25" customHeight="1">
      <c r="A781" s="775" t="s">
        <v>2049</v>
      </c>
      <c r="B781" s="819" t="s">
        <v>2044</v>
      </c>
      <c r="C781" s="818">
        <v>44659</v>
      </c>
      <c r="D781" s="819" t="s">
        <v>212</v>
      </c>
      <c r="E781" s="819" t="s">
        <v>2044</v>
      </c>
      <c r="F781" s="752" t="s">
        <v>2050</v>
      </c>
      <c r="G781" s="793">
        <v>500000000</v>
      </c>
      <c r="H781" s="757" t="s">
        <v>278</v>
      </c>
      <c r="I781" s="793" t="s">
        <v>194</v>
      </c>
      <c r="J781" s="658" t="str">
        <f>VLOOKUP($I781,Prices!A:B,2,0)</f>
        <v>.</v>
      </c>
      <c r="K781" s="790" t="s">
        <v>194</v>
      </c>
      <c r="L781" s="643" t="s">
        <v>194</v>
      </c>
      <c r="M781" s="643" t="s">
        <v>194</v>
      </c>
      <c r="N781" s="647" t="str">
        <f>VLOOKUP($I781,Prices!A:D,4,0)</f>
        <v>.</v>
      </c>
      <c r="O781" s="793" t="s">
        <v>194</v>
      </c>
      <c r="P781" s="793" t="s">
        <v>194</v>
      </c>
      <c r="Q781" s="772">
        <f t="shared" si="53"/>
        <v>500000000</v>
      </c>
      <c r="R781" s="772">
        <f>Q781/VLOOKUP(H781,'Currency Conversion'!$B$2:$C$16,2,0)</f>
        <v>500000000</v>
      </c>
      <c r="S781" s="749" t="s">
        <v>194</v>
      </c>
      <c r="T781" s="823" t="s">
        <v>195</v>
      </c>
      <c r="U781" s="756" t="s">
        <v>2051</v>
      </c>
      <c r="V781" s="756" t="s">
        <v>2052</v>
      </c>
      <c r="W781" s="756" t="s">
        <v>2053</v>
      </c>
      <c r="X781" s="819" t="s">
        <v>194</v>
      </c>
      <c r="Y781" s="757">
        <v>0</v>
      </c>
      <c r="Z781" s="757">
        <v>0</v>
      </c>
      <c r="AA781" s="781" t="s">
        <v>194</v>
      </c>
      <c r="AB781" s="775"/>
      <c r="AC781" s="775"/>
      <c r="AD781" s="775"/>
      <c r="AE781" s="775"/>
      <c r="AF781" s="775"/>
      <c r="AG781" s="775"/>
      <c r="AH781" s="775"/>
      <c r="AI781" s="775"/>
      <c r="AJ781" s="775"/>
      <c r="AK781" s="775"/>
      <c r="AL781" s="775"/>
      <c r="AM781" s="775"/>
      <c r="AN781" s="775"/>
      <c r="AO781" s="775"/>
      <c r="AP781" s="775"/>
    </row>
    <row r="782" spans="1:42" s="141" customFormat="1" ht="57" customHeight="1">
      <c r="A782" s="775" t="s">
        <v>2054</v>
      </c>
      <c r="B782" s="819" t="s">
        <v>2044</v>
      </c>
      <c r="C782" s="780">
        <v>44694</v>
      </c>
      <c r="D782" s="775" t="s">
        <v>212</v>
      </c>
      <c r="E782" s="775" t="s">
        <v>2044</v>
      </c>
      <c r="F782" s="773" t="s">
        <v>2055</v>
      </c>
      <c r="G782" s="777">
        <v>500000000</v>
      </c>
      <c r="H782" s="757" t="s">
        <v>278</v>
      </c>
      <c r="I782" s="775" t="s">
        <v>194</v>
      </c>
      <c r="J782" s="658" t="str">
        <f>VLOOKUP($I782,Prices!A:B,2,0)</f>
        <v>.</v>
      </c>
      <c r="K782" s="790" t="s">
        <v>194</v>
      </c>
      <c r="L782" s="788" t="s">
        <v>194</v>
      </c>
      <c r="M782" s="680" t="s">
        <v>194</v>
      </c>
      <c r="N782" s="708" t="str">
        <f>VLOOKUP($I782,Prices!A:D,4,0)</f>
        <v>.</v>
      </c>
      <c r="O782" s="793" t="s">
        <v>194</v>
      </c>
      <c r="P782" s="793" t="s">
        <v>194</v>
      </c>
      <c r="Q782" s="772">
        <f t="shared" si="53"/>
        <v>500000000</v>
      </c>
      <c r="R782" s="772">
        <f>Q782/VLOOKUP(H782,'Currency Conversion'!$B$2:$C$16,2,0)</f>
        <v>500000000</v>
      </c>
      <c r="S782" s="749" t="s">
        <v>194</v>
      </c>
      <c r="T782" s="757" t="s">
        <v>195</v>
      </c>
      <c r="U782" s="756" t="s">
        <v>2056</v>
      </c>
      <c r="V782" s="756" t="s">
        <v>2057</v>
      </c>
      <c r="W782" s="756" t="s">
        <v>2058</v>
      </c>
      <c r="X782" s="819" t="s">
        <v>194</v>
      </c>
      <c r="Y782" s="759">
        <v>0</v>
      </c>
      <c r="Z782" s="757">
        <v>0</v>
      </c>
      <c r="AA782" s="781" t="s">
        <v>194</v>
      </c>
      <c r="AB782" s="775"/>
      <c r="AC782" s="775"/>
      <c r="AD782" s="775"/>
      <c r="AE782" s="775"/>
      <c r="AF782" s="775"/>
      <c r="AG782" s="775"/>
      <c r="AH782" s="775"/>
      <c r="AI782" s="775"/>
      <c r="AJ782" s="775"/>
      <c r="AK782" s="775"/>
      <c r="AL782" s="775"/>
      <c r="AM782" s="775"/>
      <c r="AN782" s="775"/>
      <c r="AO782" s="775"/>
      <c r="AP782" s="775"/>
    </row>
    <row r="783" spans="1:42" s="660" customFormat="1" ht="118.5" customHeight="1">
      <c r="A783" s="819" t="s">
        <v>2059</v>
      </c>
      <c r="B783" s="819" t="s">
        <v>2060</v>
      </c>
      <c r="C783" s="818">
        <v>44624</v>
      </c>
      <c r="D783" s="819" t="s">
        <v>292</v>
      </c>
      <c r="E783" s="819" t="s">
        <v>351</v>
      </c>
      <c r="F783" s="789" t="s">
        <v>2061</v>
      </c>
      <c r="G783" s="793">
        <v>2000000000</v>
      </c>
      <c r="H783" s="823" t="s">
        <v>278</v>
      </c>
      <c r="I783" s="819" t="s">
        <v>194</v>
      </c>
      <c r="J783" s="658" t="str">
        <f>VLOOKUP($I783,Prices!A:B,2,0)</f>
        <v>.</v>
      </c>
      <c r="K783" s="790" t="s">
        <v>194</v>
      </c>
      <c r="L783" s="643" t="s">
        <v>194</v>
      </c>
      <c r="M783" s="643" t="s">
        <v>194</v>
      </c>
      <c r="N783" s="647" t="str">
        <f>VLOOKUP($I783,Prices!A:D,4,0)</f>
        <v>.</v>
      </c>
      <c r="O783" s="793" t="s">
        <v>194</v>
      </c>
      <c r="P783" s="793" t="s">
        <v>194</v>
      </c>
      <c r="Q783" s="793">
        <f t="shared" si="53"/>
        <v>2000000000</v>
      </c>
      <c r="R783" s="772">
        <f>Q783/VLOOKUP(H783,'Currency Conversion'!$B$2:$C$16,2,0)</f>
        <v>2000000000</v>
      </c>
      <c r="S783" s="792" t="s">
        <v>194</v>
      </c>
      <c r="T783" s="823" t="s">
        <v>195</v>
      </c>
      <c r="U783" s="756" t="s">
        <v>2062</v>
      </c>
      <c r="V783" s="756" t="s">
        <v>2063</v>
      </c>
      <c r="W783" s="756" t="s">
        <v>2064</v>
      </c>
      <c r="X783" s="819" t="s">
        <v>194</v>
      </c>
      <c r="Y783" s="757">
        <v>0</v>
      </c>
      <c r="Z783" s="757">
        <v>0</v>
      </c>
      <c r="AA783" s="791" t="s">
        <v>194</v>
      </c>
      <c r="AB783" s="773"/>
      <c r="AC783" s="773"/>
      <c r="AD783" s="773"/>
      <c r="AE783" s="773"/>
      <c r="AF783" s="773"/>
      <c r="AG783" s="773"/>
      <c r="AH783" s="773"/>
      <c r="AI783" s="773"/>
      <c r="AJ783" s="773"/>
      <c r="AK783" s="773"/>
      <c r="AL783" s="773"/>
      <c r="AM783" s="773"/>
      <c r="AN783" s="773"/>
      <c r="AO783" s="773"/>
      <c r="AP783" s="773"/>
    </row>
    <row r="784" spans="1:42" s="660" customFormat="1" ht="93" customHeight="1">
      <c r="A784" s="819" t="s">
        <v>2065</v>
      </c>
      <c r="B784" s="819" t="s">
        <v>2060</v>
      </c>
      <c r="C784" s="818">
        <v>44627</v>
      </c>
      <c r="D784" s="819" t="s">
        <v>292</v>
      </c>
      <c r="E784" s="819" t="s">
        <v>276</v>
      </c>
      <c r="F784" s="752" t="s">
        <v>2066</v>
      </c>
      <c r="G784" s="793">
        <v>2500000</v>
      </c>
      <c r="H784" s="823" t="s">
        <v>278</v>
      </c>
      <c r="I784" s="819" t="s">
        <v>194</v>
      </c>
      <c r="J784" s="658" t="str">
        <f>VLOOKUP($I784,Prices!A:B,2,0)</f>
        <v>.</v>
      </c>
      <c r="K784" s="790" t="s">
        <v>194</v>
      </c>
      <c r="L784" s="643" t="s">
        <v>194</v>
      </c>
      <c r="M784" s="643" t="s">
        <v>194</v>
      </c>
      <c r="N784" s="708" t="str">
        <f>VLOOKUP($I784,Prices!A:D,4,0)</f>
        <v>.</v>
      </c>
      <c r="O784" s="793" t="s">
        <v>194</v>
      </c>
      <c r="P784" s="793" t="s">
        <v>194</v>
      </c>
      <c r="Q784" s="793">
        <f t="shared" si="53"/>
        <v>2500000</v>
      </c>
      <c r="R784" s="772">
        <f>Q784/VLOOKUP(H784,'Currency Conversion'!$B$2:$C$16,2,0)</f>
        <v>2500000</v>
      </c>
      <c r="S784" s="792" t="s">
        <v>194</v>
      </c>
      <c r="T784" s="823" t="s">
        <v>195</v>
      </c>
      <c r="U784" s="756" t="s">
        <v>2067</v>
      </c>
      <c r="V784" s="752" t="s">
        <v>194</v>
      </c>
      <c r="W784" s="752" t="s">
        <v>194</v>
      </c>
      <c r="X784" s="819" t="s">
        <v>194</v>
      </c>
      <c r="Y784" s="757">
        <v>0</v>
      </c>
      <c r="Z784" s="757">
        <v>0</v>
      </c>
      <c r="AA784" s="791" t="s">
        <v>194</v>
      </c>
      <c r="AB784" s="773"/>
      <c r="AC784" s="773"/>
      <c r="AD784" s="773"/>
      <c r="AE784" s="773"/>
      <c r="AF784" s="773"/>
      <c r="AG784" s="773"/>
      <c r="AH784" s="773"/>
      <c r="AI784" s="773"/>
      <c r="AJ784" s="773"/>
      <c r="AK784" s="773"/>
      <c r="AL784" s="773"/>
      <c r="AM784" s="773"/>
      <c r="AN784" s="773"/>
      <c r="AO784" s="773"/>
      <c r="AP784" s="773"/>
    </row>
    <row r="785" spans="1:42">
      <c r="A785" s="767"/>
      <c r="B785" s="767"/>
      <c r="C785" s="767"/>
      <c r="D785" s="767"/>
      <c r="E785" s="767"/>
      <c r="F785" s="787"/>
      <c r="G785" s="770"/>
      <c r="H785" s="761"/>
      <c r="I785" s="767"/>
      <c r="K785" s="790"/>
      <c r="O785" s="769"/>
      <c r="P785" s="769"/>
      <c r="Q785" s="769"/>
      <c r="R785" s="769"/>
      <c r="S785" s="763"/>
      <c r="T785" s="761"/>
      <c r="U785" s="787"/>
      <c r="V785" s="787"/>
      <c r="W785" s="787"/>
      <c r="X785" s="771"/>
      <c r="Y785" s="759"/>
      <c r="Z785" s="761"/>
      <c r="AA785" s="802"/>
      <c r="AB785" s="767"/>
      <c r="AC785" s="767"/>
      <c r="AD785" s="767"/>
      <c r="AE785" s="767"/>
      <c r="AF785" s="767"/>
      <c r="AG785" s="767"/>
      <c r="AH785" s="767"/>
      <c r="AI785" s="767"/>
      <c r="AJ785" s="767"/>
      <c r="AK785" s="767"/>
      <c r="AL785" s="767"/>
      <c r="AM785" s="767"/>
      <c r="AN785" s="767"/>
      <c r="AO785" s="767"/>
      <c r="AP785" s="767"/>
    </row>
    <row r="786" spans="1:42">
      <c r="A786" s="767"/>
      <c r="B786" s="767"/>
      <c r="C786" s="767"/>
      <c r="D786" s="767"/>
      <c r="E786" s="767"/>
      <c r="F786" s="787"/>
      <c r="G786" s="770"/>
      <c r="H786" s="761"/>
      <c r="I786" s="767"/>
      <c r="K786" s="790"/>
      <c r="O786" s="769"/>
      <c r="P786" s="769"/>
      <c r="Q786" s="769"/>
      <c r="R786" s="769"/>
      <c r="S786" s="763"/>
      <c r="T786" s="761"/>
      <c r="U786" s="787"/>
      <c r="V786" s="787"/>
      <c r="W786" s="787"/>
      <c r="X786" s="771"/>
      <c r="Y786" s="759"/>
      <c r="Z786" s="761"/>
      <c r="AA786" s="802"/>
      <c r="AB786" s="767"/>
      <c r="AC786" s="767"/>
      <c r="AD786" s="767"/>
      <c r="AE786" s="767"/>
      <c r="AF786" s="767"/>
      <c r="AG786" s="767"/>
      <c r="AH786" s="767"/>
      <c r="AI786" s="767"/>
      <c r="AJ786" s="767"/>
      <c r="AK786" s="767"/>
      <c r="AL786" s="767"/>
      <c r="AM786" s="767"/>
      <c r="AN786" s="767"/>
      <c r="AO786" s="767"/>
      <c r="AP786" s="767"/>
    </row>
    <row r="787" spans="1:42">
      <c r="A787" s="767"/>
      <c r="B787" s="767"/>
      <c r="C787" s="767"/>
      <c r="D787" s="767"/>
      <c r="E787" s="767"/>
      <c r="F787" s="787"/>
      <c r="G787" s="770"/>
      <c r="H787" s="761"/>
      <c r="I787" s="767"/>
      <c r="K787" s="790"/>
      <c r="O787" s="769"/>
      <c r="P787" s="769"/>
      <c r="Q787" s="769"/>
      <c r="R787" s="769"/>
      <c r="S787" s="763"/>
      <c r="T787" s="761"/>
      <c r="U787" s="787"/>
      <c r="V787" s="787"/>
      <c r="W787" s="787"/>
      <c r="X787" s="771"/>
      <c r="Y787" s="759"/>
      <c r="Z787" s="761"/>
      <c r="AA787" s="802"/>
      <c r="AB787" s="767"/>
      <c r="AC787" s="767"/>
      <c r="AD787" s="767"/>
      <c r="AE787" s="767"/>
      <c r="AF787" s="767"/>
      <c r="AG787" s="767"/>
      <c r="AH787" s="767"/>
      <c r="AI787" s="767"/>
      <c r="AJ787" s="767"/>
      <c r="AK787" s="767"/>
      <c r="AL787" s="767"/>
      <c r="AM787" s="767"/>
      <c r="AN787" s="767"/>
      <c r="AO787" s="767"/>
      <c r="AP787" s="767"/>
    </row>
    <row r="788" spans="1:42">
      <c r="A788" s="767"/>
      <c r="B788" s="767"/>
      <c r="C788" s="767"/>
      <c r="D788" s="767"/>
      <c r="E788" s="767"/>
      <c r="F788" s="787"/>
      <c r="G788" s="770"/>
      <c r="H788" s="761"/>
      <c r="I788" s="767"/>
      <c r="K788" s="790"/>
      <c r="O788" s="769"/>
      <c r="P788" s="769"/>
      <c r="Q788" s="769"/>
      <c r="R788" s="769"/>
      <c r="S788" s="763"/>
      <c r="T788" s="761"/>
      <c r="U788" s="787"/>
      <c r="V788" s="787"/>
      <c r="W788" s="787"/>
      <c r="X788" s="771"/>
      <c r="Y788" s="759"/>
      <c r="Z788" s="761"/>
      <c r="AA788" s="802"/>
      <c r="AB788" s="767"/>
      <c r="AC788" s="767"/>
      <c r="AD788" s="767"/>
      <c r="AE788" s="767"/>
      <c r="AF788" s="767"/>
      <c r="AG788" s="767"/>
      <c r="AH788" s="767"/>
      <c r="AI788" s="767"/>
      <c r="AJ788" s="767"/>
      <c r="AK788" s="767"/>
      <c r="AL788" s="767"/>
      <c r="AM788" s="767"/>
      <c r="AN788" s="767"/>
      <c r="AO788" s="767"/>
      <c r="AP788" s="767"/>
    </row>
    <row r="789" spans="1:42">
      <c r="A789" s="767"/>
      <c r="B789" s="767"/>
      <c r="C789" s="767"/>
      <c r="D789" s="767"/>
      <c r="E789" s="767"/>
      <c r="F789" s="787"/>
      <c r="G789" s="770"/>
      <c r="H789" s="761"/>
      <c r="I789" s="767"/>
      <c r="K789" s="790"/>
      <c r="O789" s="769"/>
      <c r="P789" s="769"/>
      <c r="Q789" s="769"/>
      <c r="R789" s="769"/>
      <c r="S789" s="763"/>
      <c r="T789" s="761"/>
      <c r="U789" s="787"/>
      <c r="V789" s="787"/>
      <c r="W789" s="787"/>
      <c r="X789" s="771"/>
      <c r="Y789" s="759"/>
      <c r="Z789" s="761"/>
      <c r="AA789" s="802"/>
      <c r="AB789" s="767"/>
      <c r="AC789" s="767"/>
      <c r="AD789" s="767"/>
      <c r="AE789" s="767"/>
      <c r="AF789" s="767"/>
      <c r="AG789" s="767"/>
      <c r="AH789" s="767"/>
      <c r="AI789" s="767"/>
      <c r="AJ789" s="767"/>
      <c r="AK789" s="767"/>
      <c r="AL789" s="767"/>
      <c r="AM789" s="767"/>
      <c r="AN789" s="767"/>
      <c r="AO789" s="767"/>
      <c r="AP789" s="767"/>
    </row>
    <row r="790" spans="1:42">
      <c r="A790" s="767"/>
      <c r="B790" s="767"/>
      <c r="C790" s="767"/>
      <c r="D790" s="767"/>
      <c r="E790" s="767"/>
      <c r="F790" s="787"/>
      <c r="G790" s="770"/>
      <c r="H790" s="761"/>
      <c r="I790" s="767"/>
      <c r="K790" s="790"/>
      <c r="O790" s="769"/>
      <c r="P790" s="769"/>
      <c r="Q790" s="769"/>
      <c r="R790" s="769"/>
      <c r="S790" s="763"/>
      <c r="T790" s="761"/>
      <c r="U790" s="787"/>
      <c r="V790" s="787"/>
      <c r="W790" s="787"/>
      <c r="X790" s="771"/>
      <c r="Y790" s="759"/>
      <c r="Z790" s="761"/>
      <c r="AA790" s="802"/>
      <c r="AB790" s="767"/>
      <c r="AC790" s="767"/>
      <c r="AD790" s="767"/>
      <c r="AE790" s="767"/>
      <c r="AF790" s="767"/>
      <c r="AG790" s="767"/>
      <c r="AH790" s="767"/>
      <c r="AI790" s="767"/>
      <c r="AJ790" s="767"/>
      <c r="AK790" s="767"/>
      <c r="AL790" s="767"/>
      <c r="AM790" s="767"/>
      <c r="AN790" s="767"/>
      <c r="AO790" s="767"/>
      <c r="AP790" s="767"/>
    </row>
    <row r="791" spans="1:42">
      <c r="A791" s="767"/>
      <c r="B791" s="767"/>
      <c r="C791" s="767"/>
      <c r="D791" s="767"/>
      <c r="E791" s="767"/>
      <c r="F791" s="787"/>
      <c r="G791" s="770"/>
      <c r="H791" s="761"/>
      <c r="I791" s="767"/>
      <c r="K791" s="790"/>
      <c r="O791" s="769"/>
      <c r="P791" s="769"/>
      <c r="Q791" s="769"/>
      <c r="R791" s="769"/>
      <c r="S791" s="763"/>
      <c r="T791" s="761"/>
      <c r="U791" s="787"/>
      <c r="V791" s="787"/>
      <c r="W791" s="787"/>
      <c r="X791" s="771"/>
      <c r="Y791" s="759"/>
      <c r="Z791" s="761"/>
      <c r="AA791" s="802"/>
      <c r="AB791" s="767"/>
      <c r="AC791" s="767"/>
      <c r="AD791" s="767"/>
      <c r="AE791" s="767"/>
      <c r="AF791" s="767"/>
      <c r="AG791" s="767"/>
      <c r="AH791" s="767"/>
      <c r="AI791" s="767"/>
      <c r="AJ791" s="767"/>
      <c r="AK791" s="767"/>
      <c r="AL791" s="767"/>
      <c r="AM791" s="767"/>
      <c r="AN791" s="767"/>
      <c r="AO791" s="767"/>
      <c r="AP791" s="767"/>
    </row>
    <row r="792" spans="1:42">
      <c r="A792" s="767"/>
      <c r="B792" s="767"/>
      <c r="C792" s="767"/>
      <c r="D792" s="767"/>
      <c r="E792" s="767"/>
      <c r="F792" s="787"/>
      <c r="G792" s="770"/>
      <c r="H792" s="761"/>
      <c r="I792" s="767"/>
      <c r="K792" s="790"/>
      <c r="O792" s="769"/>
      <c r="P792" s="769"/>
      <c r="Q792" s="769"/>
      <c r="R792" s="769"/>
      <c r="S792" s="763"/>
      <c r="T792" s="761"/>
      <c r="U792" s="787"/>
      <c r="V792" s="787"/>
      <c r="W792" s="787"/>
      <c r="X792" s="771"/>
      <c r="Y792" s="759"/>
      <c r="Z792" s="761"/>
      <c r="AA792" s="802"/>
      <c r="AB792" s="767"/>
      <c r="AC792" s="767"/>
      <c r="AD792" s="767"/>
      <c r="AE792" s="767"/>
      <c r="AF792" s="767"/>
      <c r="AG792" s="767"/>
      <c r="AH792" s="767"/>
      <c r="AI792" s="767"/>
      <c r="AJ792" s="767"/>
      <c r="AK792" s="767"/>
      <c r="AL792" s="767"/>
      <c r="AM792" s="767"/>
      <c r="AN792" s="767"/>
      <c r="AO792" s="767"/>
      <c r="AP792" s="767"/>
    </row>
    <row r="793" spans="1:42">
      <c r="A793" s="767"/>
      <c r="B793" s="767"/>
      <c r="C793" s="767"/>
      <c r="D793" s="767"/>
      <c r="E793" s="767"/>
      <c r="F793" s="787"/>
      <c r="G793" s="770"/>
      <c r="H793" s="761"/>
      <c r="I793" s="767"/>
      <c r="K793" s="790"/>
      <c r="O793" s="769"/>
      <c r="P793" s="769"/>
      <c r="Q793" s="769"/>
      <c r="R793" s="769"/>
      <c r="S793" s="763"/>
      <c r="T793" s="761"/>
      <c r="U793" s="787"/>
      <c r="V793" s="787"/>
      <c r="W793" s="787"/>
      <c r="X793" s="771"/>
      <c r="Y793" s="759"/>
      <c r="Z793" s="761"/>
      <c r="AA793" s="802"/>
      <c r="AB793" s="767"/>
      <c r="AC793" s="767"/>
      <c r="AD793" s="767"/>
      <c r="AE793" s="767"/>
      <c r="AF793" s="767"/>
      <c r="AG793" s="767"/>
      <c r="AH793" s="767"/>
      <c r="AI793" s="767"/>
      <c r="AJ793" s="767"/>
      <c r="AK793" s="767"/>
      <c r="AL793" s="767"/>
      <c r="AM793" s="767"/>
      <c r="AN793" s="767"/>
      <c r="AO793" s="767"/>
      <c r="AP793" s="767"/>
    </row>
    <row r="794" spans="1:42">
      <c r="A794" s="767"/>
      <c r="B794" s="767"/>
      <c r="C794" s="767"/>
      <c r="D794" s="767"/>
      <c r="E794" s="767"/>
      <c r="F794" s="787"/>
      <c r="G794" s="770"/>
      <c r="H794" s="761"/>
      <c r="I794" s="767"/>
      <c r="K794" s="790"/>
      <c r="O794" s="769"/>
      <c r="P794" s="769"/>
      <c r="Q794" s="769"/>
      <c r="R794" s="769"/>
      <c r="S794" s="763"/>
      <c r="T794" s="761"/>
      <c r="U794" s="787"/>
      <c r="V794" s="787"/>
      <c r="W794" s="787"/>
      <c r="X794" s="771"/>
      <c r="Y794" s="759"/>
      <c r="Z794" s="761"/>
      <c r="AA794" s="802"/>
      <c r="AB794" s="767"/>
      <c r="AC794" s="767"/>
      <c r="AD794" s="767"/>
      <c r="AE794" s="767"/>
      <c r="AF794" s="767"/>
      <c r="AG794" s="767"/>
      <c r="AH794" s="767"/>
      <c r="AI794" s="767"/>
      <c r="AJ794" s="767"/>
      <c r="AK794" s="767"/>
      <c r="AL794" s="767"/>
      <c r="AM794" s="767"/>
      <c r="AN794" s="767"/>
      <c r="AO794" s="767"/>
      <c r="AP794" s="767"/>
    </row>
    <row r="795" spans="1:42">
      <c r="A795" s="767"/>
      <c r="B795" s="767"/>
      <c r="C795" s="767"/>
      <c r="D795" s="767"/>
      <c r="E795" s="767"/>
      <c r="F795" s="787"/>
      <c r="G795" s="770"/>
      <c r="H795" s="761"/>
      <c r="I795" s="767"/>
      <c r="K795" s="790"/>
      <c r="O795" s="769"/>
      <c r="P795" s="769"/>
      <c r="Q795" s="769"/>
      <c r="R795" s="769"/>
      <c r="S795" s="763"/>
      <c r="T795" s="761"/>
      <c r="U795" s="787"/>
      <c r="V795" s="787"/>
      <c r="W795" s="787"/>
      <c r="X795" s="771"/>
      <c r="Y795" s="759"/>
      <c r="Z795" s="761"/>
      <c r="AA795" s="802"/>
      <c r="AB795" s="767"/>
      <c r="AC795" s="767"/>
      <c r="AD795" s="767"/>
      <c r="AE795" s="767"/>
      <c r="AF795" s="767"/>
      <c r="AG795" s="767"/>
      <c r="AH795" s="767"/>
      <c r="AI795" s="767"/>
      <c r="AJ795" s="767"/>
      <c r="AK795" s="767"/>
      <c r="AL795" s="767"/>
      <c r="AM795" s="767"/>
      <c r="AN795" s="767"/>
      <c r="AO795" s="767"/>
      <c r="AP795" s="767"/>
    </row>
    <row r="796" spans="1:42">
      <c r="A796" s="767"/>
      <c r="B796" s="767"/>
      <c r="C796" s="767"/>
      <c r="D796" s="767"/>
      <c r="E796" s="767"/>
      <c r="F796" s="787"/>
      <c r="G796" s="770"/>
      <c r="H796" s="761"/>
      <c r="I796" s="767"/>
      <c r="K796" s="790"/>
      <c r="O796" s="769"/>
      <c r="P796" s="769"/>
      <c r="Q796" s="769"/>
      <c r="R796" s="769"/>
      <c r="S796" s="763"/>
      <c r="T796" s="761"/>
      <c r="U796" s="787"/>
      <c r="V796" s="787"/>
      <c r="W796" s="787"/>
      <c r="X796" s="771"/>
      <c r="Y796" s="759"/>
      <c r="Z796" s="761"/>
      <c r="AA796" s="802"/>
      <c r="AB796" s="767"/>
      <c r="AC796" s="767"/>
      <c r="AD796" s="767"/>
      <c r="AE796" s="767"/>
      <c r="AF796" s="767"/>
      <c r="AG796" s="767"/>
      <c r="AH796" s="767"/>
      <c r="AI796" s="767"/>
      <c r="AJ796" s="767"/>
      <c r="AK796" s="767"/>
      <c r="AL796" s="767"/>
      <c r="AM796" s="767"/>
      <c r="AN796" s="767"/>
      <c r="AO796" s="767"/>
      <c r="AP796" s="767"/>
    </row>
    <row r="797" spans="1:42">
      <c r="A797" s="767"/>
      <c r="B797" s="767"/>
      <c r="C797" s="767"/>
      <c r="D797" s="767"/>
      <c r="E797" s="767"/>
      <c r="F797" s="787"/>
      <c r="G797" s="770"/>
      <c r="H797" s="761"/>
      <c r="I797" s="767"/>
      <c r="K797" s="790"/>
      <c r="O797" s="769"/>
      <c r="P797" s="769"/>
      <c r="Q797" s="769"/>
      <c r="R797" s="769"/>
      <c r="S797" s="763"/>
      <c r="T797" s="761"/>
      <c r="U797" s="787"/>
      <c r="V797" s="787"/>
      <c r="W797" s="787"/>
      <c r="X797" s="771"/>
      <c r="Y797" s="759"/>
      <c r="Z797" s="761"/>
      <c r="AA797" s="802"/>
      <c r="AB797" s="767"/>
      <c r="AC797" s="767"/>
      <c r="AD797" s="767"/>
      <c r="AE797" s="767"/>
      <c r="AF797" s="767"/>
      <c r="AG797" s="767"/>
      <c r="AH797" s="767"/>
      <c r="AI797" s="767"/>
      <c r="AJ797" s="767"/>
      <c r="AK797" s="767"/>
      <c r="AL797" s="767"/>
      <c r="AM797" s="767"/>
      <c r="AN797" s="767"/>
      <c r="AO797" s="767"/>
      <c r="AP797" s="767"/>
    </row>
    <row r="798" spans="1:42">
      <c r="A798" s="767"/>
      <c r="B798" s="767"/>
      <c r="C798" s="767"/>
      <c r="D798" s="767"/>
      <c r="E798" s="767"/>
      <c r="F798" s="787"/>
      <c r="G798" s="770"/>
      <c r="H798" s="761"/>
      <c r="I798" s="767"/>
      <c r="K798" s="790"/>
      <c r="O798" s="769"/>
      <c r="P798" s="769"/>
      <c r="Q798" s="769"/>
      <c r="R798" s="769"/>
      <c r="S798" s="763"/>
      <c r="T798" s="761"/>
      <c r="U798" s="787"/>
      <c r="V798" s="787"/>
      <c r="W798" s="787"/>
      <c r="X798" s="771"/>
      <c r="Y798" s="759"/>
      <c r="Z798" s="761"/>
      <c r="AA798" s="802"/>
      <c r="AB798" s="767"/>
      <c r="AC798" s="767"/>
      <c r="AD798" s="767"/>
      <c r="AE798" s="767"/>
      <c r="AF798" s="767"/>
      <c r="AG798" s="767"/>
      <c r="AH798" s="767"/>
      <c r="AI798" s="767"/>
      <c r="AJ798" s="767"/>
      <c r="AK798" s="767"/>
      <c r="AL798" s="767"/>
      <c r="AM798" s="767"/>
      <c r="AN798" s="767"/>
      <c r="AO798" s="767"/>
      <c r="AP798" s="767"/>
    </row>
    <row r="799" spans="1:42">
      <c r="A799" s="767"/>
      <c r="B799" s="767"/>
      <c r="C799" s="767"/>
      <c r="D799" s="767"/>
      <c r="E799" s="767"/>
      <c r="F799" s="787"/>
      <c r="G799" s="770"/>
      <c r="H799" s="761"/>
      <c r="I799" s="767"/>
      <c r="K799" s="790"/>
      <c r="O799" s="769"/>
      <c r="P799" s="769"/>
      <c r="Q799" s="769"/>
      <c r="R799" s="769"/>
      <c r="S799" s="763"/>
      <c r="T799" s="761"/>
      <c r="U799" s="787"/>
      <c r="V799" s="787"/>
      <c r="W799" s="787"/>
      <c r="X799" s="771"/>
      <c r="Y799" s="759"/>
      <c r="Z799" s="761"/>
      <c r="AA799" s="802"/>
      <c r="AB799" s="767"/>
      <c r="AC799" s="767"/>
      <c r="AD799" s="767"/>
      <c r="AE799" s="767"/>
      <c r="AF799" s="767"/>
      <c r="AG799" s="767"/>
      <c r="AH799" s="767"/>
      <c r="AI799" s="767"/>
      <c r="AJ799" s="767"/>
      <c r="AK799" s="767"/>
      <c r="AL799" s="767"/>
      <c r="AM799" s="767"/>
      <c r="AN799" s="767"/>
      <c r="AO799" s="767"/>
      <c r="AP799" s="767"/>
    </row>
    <row r="800" spans="1:42">
      <c r="A800" s="767"/>
      <c r="B800" s="767"/>
      <c r="C800" s="767"/>
      <c r="D800" s="767"/>
      <c r="E800" s="767"/>
      <c r="F800" s="787"/>
      <c r="G800" s="770"/>
      <c r="H800" s="761"/>
      <c r="I800" s="767"/>
      <c r="K800" s="790"/>
      <c r="O800" s="769"/>
      <c r="P800" s="769"/>
      <c r="Q800" s="769"/>
      <c r="R800" s="769"/>
      <c r="S800" s="763"/>
      <c r="T800" s="761"/>
      <c r="U800" s="787"/>
      <c r="V800" s="787"/>
      <c r="W800" s="787"/>
      <c r="X800" s="771"/>
      <c r="Y800" s="759"/>
      <c r="Z800" s="761"/>
      <c r="AA800" s="802"/>
      <c r="AB800" s="767"/>
      <c r="AC800" s="767"/>
      <c r="AD800" s="767"/>
      <c r="AE800" s="767"/>
      <c r="AF800" s="767"/>
      <c r="AG800" s="767"/>
      <c r="AH800" s="767"/>
      <c r="AI800" s="767"/>
      <c r="AJ800" s="767"/>
      <c r="AK800" s="767"/>
      <c r="AL800" s="767"/>
      <c r="AM800" s="767"/>
      <c r="AN800" s="767"/>
      <c r="AO800" s="767"/>
      <c r="AP800" s="767"/>
    </row>
    <row r="801" spans="1:42">
      <c r="A801" s="767"/>
      <c r="B801" s="767"/>
      <c r="C801" s="767"/>
      <c r="D801" s="767"/>
      <c r="E801" s="767"/>
      <c r="F801" s="787"/>
      <c r="G801" s="770"/>
      <c r="H801" s="761"/>
      <c r="I801" s="767"/>
      <c r="K801" s="790"/>
      <c r="O801" s="769"/>
      <c r="P801" s="769"/>
      <c r="Q801" s="769"/>
      <c r="R801" s="769"/>
      <c r="S801" s="763"/>
      <c r="T801" s="761"/>
      <c r="U801" s="787"/>
      <c r="V801" s="787"/>
      <c r="W801" s="787"/>
      <c r="X801" s="771"/>
      <c r="Y801" s="759"/>
      <c r="Z801" s="761"/>
      <c r="AA801" s="802"/>
      <c r="AB801" s="767"/>
      <c r="AC801" s="767"/>
      <c r="AD801" s="767"/>
      <c r="AE801" s="767"/>
      <c r="AF801" s="767"/>
      <c r="AG801" s="767"/>
      <c r="AH801" s="767"/>
      <c r="AI801" s="767"/>
      <c r="AJ801" s="767"/>
      <c r="AK801" s="767"/>
      <c r="AL801" s="767"/>
      <c r="AM801" s="767"/>
      <c r="AN801" s="767"/>
      <c r="AO801" s="767"/>
      <c r="AP801" s="767"/>
    </row>
    <row r="802" spans="1:42">
      <c r="A802" s="767"/>
      <c r="B802" s="767"/>
      <c r="C802" s="767"/>
      <c r="D802" s="767"/>
      <c r="E802" s="767"/>
      <c r="F802" s="787"/>
      <c r="G802" s="770"/>
      <c r="H802" s="761"/>
      <c r="I802" s="767"/>
      <c r="K802" s="790"/>
      <c r="O802" s="769"/>
      <c r="P802" s="769"/>
      <c r="Q802" s="769"/>
      <c r="R802" s="769"/>
      <c r="S802" s="763"/>
      <c r="T802" s="761"/>
      <c r="U802" s="787"/>
      <c r="V802" s="787"/>
      <c r="W802" s="787"/>
      <c r="X802" s="771"/>
      <c r="Y802" s="759"/>
      <c r="Z802" s="761"/>
      <c r="AA802" s="802"/>
      <c r="AB802" s="767"/>
      <c r="AC802" s="767"/>
      <c r="AD802" s="767"/>
      <c r="AE802" s="767"/>
      <c r="AF802" s="767"/>
      <c r="AG802" s="767"/>
      <c r="AH802" s="767"/>
      <c r="AI802" s="767"/>
      <c r="AJ802" s="767"/>
      <c r="AK802" s="767"/>
      <c r="AL802" s="767"/>
      <c r="AM802" s="767"/>
      <c r="AN802" s="767"/>
      <c r="AO802" s="767"/>
      <c r="AP802" s="767"/>
    </row>
    <row r="803" spans="1:42">
      <c r="A803" s="767"/>
      <c r="B803" s="767"/>
      <c r="C803" s="767"/>
      <c r="D803" s="767"/>
      <c r="E803" s="767"/>
      <c r="F803" s="787"/>
      <c r="G803" s="770"/>
      <c r="H803" s="761"/>
      <c r="I803" s="767"/>
      <c r="K803" s="790"/>
      <c r="O803" s="769"/>
      <c r="P803" s="769"/>
      <c r="Q803" s="769"/>
      <c r="R803" s="769"/>
      <c r="S803" s="763"/>
      <c r="T803" s="761"/>
      <c r="U803" s="787"/>
      <c r="V803" s="787"/>
      <c r="W803" s="787"/>
      <c r="X803" s="771"/>
      <c r="Y803" s="759"/>
      <c r="Z803" s="761"/>
      <c r="AA803" s="802"/>
      <c r="AB803" s="767"/>
      <c r="AC803" s="767"/>
      <c r="AD803" s="767"/>
      <c r="AE803" s="767"/>
      <c r="AF803" s="767"/>
      <c r="AG803" s="767"/>
      <c r="AH803" s="767"/>
      <c r="AI803" s="767"/>
      <c r="AJ803" s="767"/>
      <c r="AK803" s="767"/>
      <c r="AL803" s="767"/>
      <c r="AM803" s="767"/>
      <c r="AN803" s="767"/>
      <c r="AO803" s="767"/>
      <c r="AP803" s="767"/>
    </row>
    <row r="804" spans="1:42">
      <c r="A804" s="767"/>
      <c r="B804" s="767"/>
      <c r="C804" s="767"/>
      <c r="D804" s="767"/>
      <c r="E804" s="767"/>
      <c r="F804" s="787"/>
      <c r="G804" s="770"/>
      <c r="H804" s="761"/>
      <c r="I804" s="767"/>
      <c r="K804" s="790"/>
      <c r="O804" s="769"/>
      <c r="P804" s="769"/>
      <c r="Q804" s="769"/>
      <c r="R804" s="769"/>
      <c r="S804" s="763"/>
      <c r="T804" s="761"/>
      <c r="U804" s="787"/>
      <c r="V804" s="787"/>
      <c r="W804" s="787"/>
      <c r="X804" s="771"/>
      <c r="Y804" s="759"/>
      <c r="Z804" s="761"/>
      <c r="AA804" s="802"/>
      <c r="AB804" s="767"/>
      <c r="AC804" s="767"/>
      <c r="AD804" s="767"/>
      <c r="AE804" s="767"/>
      <c r="AF804" s="767"/>
      <c r="AG804" s="767"/>
      <c r="AH804" s="767"/>
      <c r="AI804" s="767"/>
      <c r="AJ804" s="767"/>
      <c r="AK804" s="767"/>
      <c r="AL804" s="767"/>
      <c r="AM804" s="767"/>
      <c r="AN804" s="767"/>
      <c r="AO804" s="767"/>
      <c r="AP804" s="767"/>
    </row>
    <row r="805" spans="1:42">
      <c r="A805" s="767"/>
      <c r="B805" s="767"/>
      <c r="C805" s="767"/>
      <c r="D805" s="767"/>
      <c r="E805" s="767"/>
      <c r="F805" s="787"/>
      <c r="G805" s="770"/>
      <c r="H805" s="761"/>
      <c r="I805" s="767"/>
      <c r="K805" s="790"/>
      <c r="O805" s="769"/>
      <c r="P805" s="769"/>
      <c r="Q805" s="769"/>
      <c r="R805" s="769"/>
      <c r="S805" s="763"/>
      <c r="T805" s="761"/>
      <c r="U805" s="787"/>
      <c r="V805" s="787"/>
      <c r="W805" s="787"/>
      <c r="X805" s="771"/>
      <c r="Y805" s="759"/>
      <c r="Z805" s="761"/>
      <c r="AA805" s="802"/>
      <c r="AB805" s="767"/>
      <c r="AC805" s="767"/>
      <c r="AD805" s="767"/>
      <c r="AE805" s="767"/>
      <c r="AF805" s="767"/>
      <c r="AG805" s="767"/>
      <c r="AH805" s="767"/>
      <c r="AI805" s="767"/>
      <c r="AJ805" s="767"/>
      <c r="AK805" s="767"/>
      <c r="AL805" s="767"/>
      <c r="AM805" s="767"/>
      <c r="AN805" s="767"/>
      <c r="AO805" s="767"/>
      <c r="AP805" s="767"/>
    </row>
    <row r="806" spans="1:42">
      <c r="A806" s="767"/>
      <c r="B806" s="767"/>
      <c r="C806" s="767"/>
      <c r="D806" s="767"/>
      <c r="E806" s="767"/>
      <c r="F806" s="787"/>
      <c r="G806" s="770"/>
      <c r="H806" s="761"/>
      <c r="I806" s="767"/>
      <c r="K806" s="790"/>
      <c r="O806" s="769"/>
      <c r="P806" s="769"/>
      <c r="Q806" s="769"/>
      <c r="R806" s="769"/>
      <c r="S806" s="763"/>
      <c r="T806" s="761"/>
      <c r="U806" s="787"/>
      <c r="V806" s="787"/>
      <c r="W806" s="787"/>
      <c r="X806" s="771"/>
      <c r="Y806" s="759"/>
      <c r="Z806" s="761"/>
      <c r="AA806" s="802"/>
      <c r="AB806" s="767"/>
      <c r="AC806" s="767"/>
      <c r="AD806" s="767"/>
      <c r="AE806" s="767"/>
      <c r="AF806" s="767"/>
      <c r="AG806" s="767"/>
      <c r="AH806" s="767"/>
      <c r="AI806" s="767"/>
      <c r="AJ806" s="767"/>
      <c r="AK806" s="767"/>
      <c r="AL806" s="767"/>
      <c r="AM806" s="767"/>
      <c r="AN806" s="767"/>
      <c r="AO806" s="767"/>
      <c r="AP806" s="767"/>
    </row>
    <row r="807" spans="1:42">
      <c r="A807" s="767"/>
      <c r="B807" s="767"/>
      <c r="C807" s="767"/>
      <c r="D807" s="767"/>
      <c r="E807" s="767"/>
      <c r="F807" s="787"/>
      <c r="G807" s="770"/>
      <c r="H807" s="761"/>
      <c r="I807" s="767"/>
      <c r="K807" s="790"/>
      <c r="O807" s="769"/>
      <c r="P807" s="769"/>
      <c r="Q807" s="769"/>
      <c r="R807" s="769"/>
      <c r="S807" s="763"/>
      <c r="T807" s="761"/>
      <c r="U807" s="787"/>
      <c r="V807" s="787"/>
      <c r="W807" s="787"/>
      <c r="X807" s="771"/>
      <c r="Y807" s="759"/>
      <c r="Z807" s="761"/>
      <c r="AA807" s="802"/>
      <c r="AB807" s="767"/>
      <c r="AC807" s="767"/>
      <c r="AD807" s="767"/>
      <c r="AE807" s="767"/>
      <c r="AF807" s="767"/>
      <c r="AG807" s="767"/>
      <c r="AH807" s="767"/>
      <c r="AI807" s="767"/>
      <c r="AJ807" s="767"/>
      <c r="AK807" s="767"/>
      <c r="AL807" s="767"/>
      <c r="AM807" s="767"/>
      <c r="AN807" s="767"/>
      <c r="AO807" s="767"/>
      <c r="AP807" s="767"/>
    </row>
    <row r="808" spans="1:42">
      <c r="A808" s="767"/>
      <c r="B808" s="767"/>
      <c r="C808" s="767"/>
      <c r="D808" s="767"/>
      <c r="E808" s="767"/>
      <c r="F808" s="787"/>
      <c r="G808" s="770"/>
      <c r="H808" s="761"/>
      <c r="I808" s="767"/>
      <c r="K808" s="790"/>
      <c r="O808" s="769"/>
      <c r="P808" s="769"/>
      <c r="Q808" s="769"/>
      <c r="R808" s="769"/>
      <c r="S808" s="763"/>
      <c r="T808" s="761"/>
      <c r="U808" s="787"/>
      <c r="V808" s="787"/>
      <c r="W808" s="787"/>
      <c r="X808" s="771"/>
      <c r="Y808" s="759"/>
      <c r="Z808" s="761"/>
      <c r="AA808" s="802"/>
      <c r="AB808" s="767"/>
      <c r="AC808" s="767"/>
      <c r="AD808" s="767"/>
      <c r="AE808" s="767"/>
      <c r="AF808" s="767"/>
      <c r="AG808" s="767"/>
      <c r="AH808" s="767"/>
      <c r="AI808" s="767"/>
      <c r="AJ808" s="767"/>
      <c r="AK808" s="767"/>
      <c r="AL808" s="767"/>
      <c r="AM808" s="767"/>
      <c r="AN808" s="767"/>
      <c r="AO808" s="767"/>
      <c r="AP808" s="767"/>
    </row>
    <row r="809" spans="1:42">
      <c r="A809" s="767"/>
      <c r="B809" s="767"/>
      <c r="C809" s="767"/>
      <c r="D809" s="767"/>
      <c r="E809" s="767"/>
      <c r="F809" s="787"/>
      <c r="G809" s="770"/>
      <c r="H809" s="761"/>
      <c r="I809" s="767"/>
      <c r="K809" s="790"/>
      <c r="O809" s="769"/>
      <c r="P809" s="769"/>
      <c r="Q809" s="769"/>
      <c r="R809" s="769"/>
      <c r="S809" s="763"/>
      <c r="T809" s="761"/>
      <c r="U809" s="787"/>
      <c r="V809" s="787"/>
      <c r="W809" s="787"/>
      <c r="X809" s="771"/>
      <c r="Y809" s="759"/>
      <c r="Z809" s="761"/>
      <c r="AA809" s="802"/>
      <c r="AB809" s="767"/>
      <c r="AC809" s="767"/>
      <c r="AD809" s="767"/>
      <c r="AE809" s="767"/>
      <c r="AF809" s="767"/>
      <c r="AG809" s="767"/>
      <c r="AH809" s="767"/>
      <c r="AI809" s="767"/>
      <c r="AJ809" s="767"/>
      <c r="AK809" s="767"/>
      <c r="AL809" s="767"/>
      <c r="AM809" s="767"/>
      <c r="AN809" s="767"/>
      <c r="AO809" s="767"/>
      <c r="AP809" s="767"/>
    </row>
    <row r="810" spans="1:42">
      <c r="A810" s="767"/>
      <c r="B810" s="767"/>
      <c r="C810" s="767"/>
      <c r="D810" s="767"/>
      <c r="E810" s="767"/>
      <c r="F810" s="787"/>
      <c r="G810" s="770"/>
      <c r="H810" s="761"/>
      <c r="I810" s="767"/>
      <c r="K810" s="790"/>
      <c r="O810" s="769"/>
      <c r="P810" s="769"/>
      <c r="Q810" s="769"/>
      <c r="R810" s="769"/>
      <c r="S810" s="763"/>
      <c r="T810" s="761"/>
      <c r="U810" s="787"/>
      <c r="V810" s="787"/>
      <c r="W810" s="787"/>
      <c r="X810" s="771"/>
      <c r="Y810" s="759"/>
      <c r="Z810" s="761"/>
      <c r="AA810" s="802"/>
      <c r="AB810" s="767"/>
      <c r="AC810" s="767"/>
      <c r="AD810" s="767"/>
      <c r="AE810" s="767"/>
      <c r="AF810" s="767"/>
      <c r="AG810" s="767"/>
      <c r="AH810" s="767"/>
      <c r="AI810" s="767"/>
      <c r="AJ810" s="767"/>
      <c r="AK810" s="767"/>
      <c r="AL810" s="767"/>
      <c r="AM810" s="767"/>
      <c r="AN810" s="767"/>
      <c r="AO810" s="767"/>
      <c r="AP810" s="767"/>
    </row>
    <row r="811" spans="1:42">
      <c r="A811" s="767"/>
      <c r="B811" s="767"/>
      <c r="C811" s="767"/>
      <c r="D811" s="767"/>
      <c r="E811" s="767"/>
      <c r="F811" s="787"/>
      <c r="G811" s="770"/>
      <c r="H811" s="761"/>
      <c r="I811" s="767"/>
      <c r="K811" s="790"/>
      <c r="O811" s="769"/>
      <c r="P811" s="769"/>
      <c r="Q811" s="769"/>
      <c r="R811" s="769"/>
      <c r="S811" s="763"/>
      <c r="T811" s="761"/>
      <c r="U811" s="787"/>
      <c r="V811" s="787"/>
      <c r="W811" s="787"/>
      <c r="X811" s="771"/>
      <c r="Y811" s="759"/>
      <c r="Z811" s="761"/>
      <c r="AA811" s="802"/>
      <c r="AB811" s="767"/>
      <c r="AC811" s="767"/>
      <c r="AD811" s="767"/>
      <c r="AE811" s="767"/>
      <c r="AF811" s="767"/>
      <c r="AG811" s="767"/>
      <c r="AH811" s="767"/>
      <c r="AI811" s="767"/>
      <c r="AJ811" s="767"/>
      <c r="AK811" s="767"/>
      <c r="AL811" s="767"/>
      <c r="AM811" s="767"/>
      <c r="AN811" s="767"/>
      <c r="AO811" s="767"/>
      <c r="AP811" s="767"/>
    </row>
    <row r="812" spans="1:42">
      <c r="A812" s="767"/>
      <c r="B812" s="767"/>
      <c r="C812" s="767"/>
      <c r="D812" s="767"/>
      <c r="E812" s="767"/>
      <c r="F812" s="787"/>
      <c r="G812" s="770"/>
      <c r="H812" s="761"/>
      <c r="I812" s="767"/>
      <c r="K812" s="790"/>
      <c r="O812" s="769"/>
      <c r="P812" s="769"/>
      <c r="Q812" s="769"/>
      <c r="R812" s="769"/>
      <c r="S812" s="763"/>
      <c r="T812" s="761"/>
      <c r="U812" s="787"/>
      <c r="V812" s="787"/>
      <c r="W812" s="787"/>
      <c r="X812" s="771"/>
      <c r="Y812" s="759"/>
      <c r="Z812" s="761"/>
      <c r="AA812" s="802"/>
      <c r="AB812" s="767"/>
      <c r="AC812" s="767"/>
      <c r="AD812" s="767"/>
      <c r="AE812" s="767"/>
      <c r="AF812" s="767"/>
      <c r="AG812" s="767"/>
      <c r="AH812" s="767"/>
      <c r="AI812" s="767"/>
      <c r="AJ812" s="767"/>
      <c r="AK812" s="767"/>
      <c r="AL812" s="767"/>
      <c r="AM812" s="767"/>
      <c r="AN812" s="767"/>
      <c r="AO812" s="767"/>
      <c r="AP812" s="767"/>
    </row>
    <row r="813" spans="1:42">
      <c r="A813" s="767"/>
      <c r="B813" s="767"/>
      <c r="C813" s="767"/>
      <c r="D813" s="767"/>
      <c r="E813" s="767"/>
      <c r="F813" s="787"/>
      <c r="G813" s="770"/>
      <c r="H813" s="761"/>
      <c r="I813" s="767"/>
      <c r="K813" s="790"/>
      <c r="O813" s="769"/>
      <c r="P813" s="769"/>
      <c r="Q813" s="769"/>
      <c r="R813" s="769"/>
      <c r="S813" s="763"/>
      <c r="T813" s="761"/>
      <c r="U813" s="787"/>
      <c r="V813" s="787"/>
      <c r="W813" s="787"/>
      <c r="X813" s="771"/>
      <c r="Y813" s="759"/>
      <c r="Z813" s="761"/>
      <c r="AA813" s="802"/>
      <c r="AB813" s="767"/>
      <c r="AC813" s="767"/>
      <c r="AD813" s="767"/>
      <c r="AE813" s="767"/>
      <c r="AF813" s="767"/>
      <c r="AG813" s="767"/>
      <c r="AH813" s="767"/>
      <c r="AI813" s="767"/>
      <c r="AJ813" s="767"/>
      <c r="AK813" s="767"/>
      <c r="AL813" s="767"/>
      <c r="AM813" s="767"/>
      <c r="AN813" s="767"/>
      <c r="AO813" s="767"/>
      <c r="AP813" s="767"/>
    </row>
    <row r="814" spans="1:42">
      <c r="A814" s="767"/>
      <c r="B814" s="767"/>
      <c r="C814" s="767"/>
      <c r="D814" s="767"/>
      <c r="E814" s="767"/>
      <c r="F814" s="787"/>
      <c r="G814" s="770"/>
      <c r="H814" s="761"/>
      <c r="I814" s="767"/>
      <c r="K814" s="790"/>
      <c r="O814" s="769"/>
      <c r="P814" s="769"/>
      <c r="Q814" s="769"/>
      <c r="R814" s="769"/>
      <c r="S814" s="763"/>
      <c r="T814" s="761"/>
      <c r="U814" s="787"/>
      <c r="V814" s="787"/>
      <c r="W814" s="787"/>
      <c r="X814" s="771"/>
      <c r="Y814" s="759"/>
      <c r="Z814" s="761"/>
      <c r="AA814" s="802"/>
      <c r="AB814" s="767"/>
      <c r="AC814" s="767"/>
      <c r="AD814" s="767"/>
      <c r="AE814" s="767"/>
      <c r="AF814" s="767"/>
      <c r="AG814" s="767"/>
      <c r="AH814" s="767"/>
      <c r="AI814" s="767"/>
      <c r="AJ814" s="767"/>
      <c r="AK814" s="767"/>
      <c r="AL814" s="767"/>
      <c r="AM814" s="767"/>
      <c r="AN814" s="767"/>
      <c r="AO814" s="767"/>
      <c r="AP814" s="767"/>
    </row>
    <row r="815" spans="1:42">
      <c r="A815" s="767"/>
      <c r="B815" s="767"/>
      <c r="C815" s="767"/>
      <c r="D815" s="767"/>
      <c r="E815" s="767"/>
      <c r="F815" s="787"/>
      <c r="G815" s="770"/>
      <c r="H815" s="761"/>
      <c r="I815" s="767"/>
      <c r="K815" s="790"/>
      <c r="O815" s="769"/>
      <c r="P815" s="769"/>
      <c r="Q815" s="769"/>
      <c r="R815" s="769"/>
      <c r="S815" s="763"/>
      <c r="T815" s="761"/>
      <c r="U815" s="787"/>
      <c r="V815" s="787"/>
      <c r="W815" s="787"/>
      <c r="X815" s="771"/>
      <c r="Y815" s="759"/>
      <c r="Z815" s="761"/>
      <c r="AA815" s="802"/>
      <c r="AB815" s="767"/>
      <c r="AC815" s="767"/>
      <c r="AD815" s="767"/>
      <c r="AE815" s="767"/>
      <c r="AF815" s="767"/>
      <c r="AG815" s="767"/>
      <c r="AH815" s="767"/>
      <c r="AI815" s="767"/>
      <c r="AJ815" s="767"/>
      <c r="AK815" s="767"/>
      <c r="AL815" s="767"/>
      <c r="AM815" s="767"/>
      <c r="AN815" s="767"/>
      <c r="AO815" s="767"/>
      <c r="AP815" s="767"/>
    </row>
    <row r="816" spans="1:42">
      <c r="A816" s="767"/>
      <c r="B816" s="767"/>
      <c r="C816" s="767"/>
      <c r="D816" s="767"/>
      <c r="E816" s="767"/>
      <c r="F816" s="787"/>
      <c r="G816" s="770"/>
      <c r="H816" s="761"/>
      <c r="I816" s="767"/>
      <c r="K816" s="790"/>
      <c r="O816" s="769"/>
      <c r="P816" s="769"/>
      <c r="Q816" s="769"/>
      <c r="R816" s="769"/>
      <c r="S816" s="763"/>
      <c r="T816" s="761"/>
      <c r="U816" s="787"/>
      <c r="V816" s="773"/>
      <c r="W816" s="773"/>
      <c r="X816" s="785"/>
      <c r="Y816" s="759"/>
      <c r="Z816" s="761"/>
      <c r="AA816" s="802"/>
      <c r="AB816" s="767"/>
      <c r="AC816" s="767"/>
      <c r="AD816" s="767"/>
      <c r="AE816" s="767"/>
      <c r="AF816" s="767"/>
      <c r="AG816" s="767"/>
      <c r="AH816" s="767"/>
      <c r="AI816" s="767"/>
      <c r="AJ816" s="767"/>
      <c r="AK816" s="767"/>
      <c r="AL816" s="767"/>
      <c r="AM816" s="767"/>
      <c r="AN816" s="767"/>
      <c r="AO816" s="767"/>
      <c r="AP816" s="767"/>
    </row>
    <row r="817" spans="1:42">
      <c r="A817" s="767"/>
      <c r="B817" s="767"/>
      <c r="C817" s="767"/>
      <c r="D817" s="767"/>
      <c r="E817" s="767"/>
      <c r="F817" s="787"/>
      <c r="G817" s="770"/>
      <c r="H817" s="761"/>
      <c r="I817" s="767"/>
      <c r="K817" s="790"/>
      <c r="O817" s="769"/>
      <c r="P817" s="769"/>
      <c r="Q817" s="769"/>
      <c r="R817" s="769"/>
      <c r="S817" s="763"/>
      <c r="T817" s="761"/>
      <c r="U817" s="787"/>
      <c r="V817" s="773"/>
      <c r="W817" s="773"/>
      <c r="X817" s="785"/>
      <c r="Y817" s="759"/>
      <c r="Z817" s="761"/>
      <c r="AA817" s="802"/>
      <c r="AB817" s="767"/>
      <c r="AC817" s="767"/>
      <c r="AD817" s="767"/>
      <c r="AE817" s="767"/>
      <c r="AF817" s="767"/>
      <c r="AG817" s="767"/>
      <c r="AH817" s="767"/>
      <c r="AI817" s="767"/>
      <c r="AJ817" s="767"/>
      <c r="AK817" s="767"/>
      <c r="AL817" s="767"/>
      <c r="AM817" s="767"/>
      <c r="AN817" s="767"/>
      <c r="AO817" s="767"/>
      <c r="AP817" s="767"/>
    </row>
    <row r="818" spans="1:42">
      <c r="A818" s="767"/>
      <c r="B818" s="767"/>
      <c r="C818" s="767"/>
      <c r="D818" s="767"/>
      <c r="E818" s="767"/>
      <c r="F818" s="787"/>
      <c r="G818" s="770"/>
      <c r="H818" s="761"/>
      <c r="I818" s="767"/>
      <c r="K818" s="790"/>
      <c r="O818" s="769"/>
      <c r="P818" s="769"/>
      <c r="Q818" s="769"/>
      <c r="R818" s="769"/>
      <c r="S818" s="763"/>
      <c r="T818" s="761"/>
      <c r="U818" s="787"/>
      <c r="V818" s="773"/>
      <c r="W818" s="773"/>
      <c r="X818" s="785"/>
      <c r="Y818" s="759"/>
      <c r="Z818" s="761"/>
      <c r="AA818" s="802"/>
      <c r="AB818" s="767"/>
      <c r="AC818" s="767"/>
      <c r="AD818" s="767"/>
      <c r="AE818" s="767"/>
      <c r="AF818" s="767"/>
      <c r="AG818" s="767"/>
      <c r="AH818" s="767"/>
      <c r="AI818" s="767"/>
      <c r="AJ818" s="767"/>
      <c r="AK818" s="767"/>
      <c r="AL818" s="767"/>
      <c r="AM818" s="767"/>
      <c r="AN818" s="767"/>
      <c r="AO818" s="767"/>
      <c r="AP818" s="767"/>
    </row>
    <row r="819" spans="1:42">
      <c r="A819" s="767"/>
      <c r="B819" s="767"/>
      <c r="C819" s="767"/>
      <c r="D819" s="767"/>
      <c r="E819" s="767"/>
      <c r="F819" s="787"/>
      <c r="G819" s="770"/>
      <c r="H819" s="761"/>
      <c r="I819" s="767"/>
      <c r="K819" s="790"/>
      <c r="O819" s="769"/>
      <c r="P819" s="769"/>
      <c r="Q819" s="769"/>
      <c r="R819" s="769"/>
      <c r="S819" s="763"/>
      <c r="T819" s="761"/>
      <c r="U819" s="787"/>
      <c r="V819" s="773"/>
      <c r="W819" s="773"/>
      <c r="X819" s="785"/>
      <c r="Y819" s="759"/>
      <c r="Z819" s="761"/>
      <c r="AA819" s="802"/>
      <c r="AB819" s="767"/>
      <c r="AC819" s="767"/>
      <c r="AD819" s="767"/>
      <c r="AE819" s="767"/>
      <c r="AF819" s="767"/>
      <c r="AG819" s="767"/>
      <c r="AH819" s="767"/>
      <c r="AI819" s="767"/>
      <c r="AJ819" s="767"/>
      <c r="AK819" s="767"/>
      <c r="AL819" s="767"/>
      <c r="AM819" s="767"/>
      <c r="AN819" s="767"/>
      <c r="AO819" s="767"/>
      <c r="AP819" s="767"/>
    </row>
    <row r="820" spans="1:42">
      <c r="A820" s="767"/>
      <c r="B820" s="767"/>
      <c r="C820" s="767"/>
      <c r="D820" s="767"/>
      <c r="E820" s="767"/>
      <c r="F820" s="787"/>
      <c r="G820" s="770"/>
      <c r="H820" s="761"/>
      <c r="I820" s="767"/>
      <c r="K820" s="790"/>
      <c r="O820" s="769"/>
      <c r="P820" s="769"/>
      <c r="Q820" s="769"/>
      <c r="R820" s="769"/>
      <c r="S820" s="763"/>
      <c r="T820" s="761"/>
      <c r="U820" s="787"/>
      <c r="V820" s="787"/>
      <c r="W820" s="787"/>
      <c r="X820" s="787"/>
      <c r="Y820" s="759"/>
      <c r="Z820" s="761"/>
      <c r="AA820" s="802"/>
      <c r="AB820" s="767"/>
      <c r="AC820" s="767"/>
      <c r="AD820" s="767"/>
      <c r="AE820" s="767"/>
      <c r="AF820" s="767"/>
      <c r="AG820" s="767"/>
      <c r="AH820" s="767"/>
      <c r="AI820" s="767"/>
      <c r="AJ820" s="767"/>
      <c r="AK820" s="767"/>
      <c r="AL820" s="767"/>
      <c r="AM820" s="767"/>
      <c r="AN820" s="767"/>
      <c r="AO820" s="767"/>
      <c r="AP820" s="767"/>
    </row>
    <row r="821" spans="1:42">
      <c r="A821" s="767"/>
      <c r="B821" s="767"/>
      <c r="C821" s="767"/>
      <c r="D821" s="767"/>
      <c r="E821" s="767"/>
      <c r="F821" s="787"/>
      <c r="G821" s="770"/>
      <c r="H821" s="761"/>
      <c r="I821" s="767"/>
      <c r="K821" s="790"/>
      <c r="O821" s="769"/>
      <c r="P821" s="769"/>
      <c r="Q821" s="769"/>
      <c r="R821" s="769"/>
      <c r="S821" s="763"/>
      <c r="T821" s="761"/>
      <c r="U821" s="787"/>
      <c r="V821" s="787"/>
      <c r="W821" s="787"/>
      <c r="X821" s="787"/>
      <c r="Y821" s="759"/>
      <c r="Z821" s="761"/>
      <c r="AA821" s="802"/>
      <c r="AB821" s="767"/>
      <c r="AC821" s="767"/>
      <c r="AD821" s="767"/>
      <c r="AE821" s="767"/>
      <c r="AF821" s="767"/>
      <c r="AG821" s="767"/>
      <c r="AH821" s="767"/>
      <c r="AI821" s="767"/>
      <c r="AJ821" s="767"/>
      <c r="AK821" s="767"/>
      <c r="AL821" s="767"/>
      <c r="AM821" s="767"/>
      <c r="AN821" s="767"/>
      <c r="AO821" s="767"/>
      <c r="AP821" s="767"/>
    </row>
    <row r="822" spans="1:42">
      <c r="A822" s="767"/>
      <c r="B822" s="767"/>
      <c r="C822" s="767"/>
      <c r="D822" s="767"/>
      <c r="E822" s="767"/>
      <c r="F822" s="787"/>
      <c r="G822" s="770"/>
      <c r="H822" s="761"/>
      <c r="I822" s="767"/>
      <c r="K822" s="790"/>
      <c r="O822" s="769"/>
      <c r="P822" s="769"/>
      <c r="Q822" s="769"/>
      <c r="R822" s="769"/>
      <c r="S822" s="763"/>
      <c r="T822" s="761"/>
      <c r="U822" s="787"/>
      <c r="V822" s="787"/>
      <c r="W822" s="787"/>
      <c r="X822" s="787"/>
      <c r="Y822" s="759"/>
      <c r="Z822" s="761"/>
      <c r="AA822" s="802"/>
      <c r="AB822" s="767"/>
      <c r="AC822" s="767"/>
      <c r="AD822" s="767"/>
      <c r="AE822" s="767"/>
      <c r="AF822" s="767"/>
      <c r="AG822" s="767"/>
      <c r="AH822" s="767"/>
      <c r="AI822" s="767"/>
      <c r="AJ822" s="767"/>
      <c r="AK822" s="767"/>
      <c r="AL822" s="767"/>
      <c r="AM822" s="767"/>
      <c r="AN822" s="767"/>
      <c r="AO822" s="767"/>
      <c r="AP822" s="767"/>
    </row>
    <row r="823" spans="1:42">
      <c r="A823" s="767"/>
      <c r="B823" s="767"/>
      <c r="C823" s="767"/>
      <c r="D823" s="767"/>
      <c r="E823" s="767"/>
      <c r="F823" s="787"/>
      <c r="G823" s="770"/>
      <c r="H823" s="761"/>
      <c r="I823" s="767"/>
      <c r="K823" s="790"/>
      <c r="O823" s="769"/>
      <c r="P823" s="769"/>
      <c r="Q823" s="769"/>
      <c r="R823" s="769"/>
      <c r="S823" s="763"/>
      <c r="T823" s="761"/>
      <c r="U823" s="787"/>
      <c r="V823" s="787"/>
      <c r="W823" s="787"/>
      <c r="X823" s="787"/>
      <c r="Y823" s="759"/>
      <c r="Z823" s="761"/>
      <c r="AA823" s="802"/>
      <c r="AB823" s="767"/>
      <c r="AC823" s="767"/>
      <c r="AD823" s="767"/>
      <c r="AE823" s="767"/>
      <c r="AF823" s="767"/>
      <c r="AG823" s="767"/>
      <c r="AH823" s="767"/>
      <c r="AI823" s="767"/>
      <c r="AJ823" s="767"/>
      <c r="AK823" s="767"/>
      <c r="AL823" s="767"/>
      <c r="AM823" s="767"/>
      <c r="AN823" s="767"/>
      <c r="AO823" s="767"/>
      <c r="AP823" s="767"/>
    </row>
    <row r="824" spans="1:42">
      <c r="A824" s="767"/>
      <c r="B824" s="767"/>
      <c r="C824" s="767"/>
      <c r="D824" s="767"/>
      <c r="E824" s="767"/>
      <c r="F824" s="787"/>
      <c r="G824" s="770"/>
      <c r="H824" s="761"/>
      <c r="I824" s="767"/>
      <c r="K824" s="790"/>
      <c r="O824" s="769"/>
      <c r="P824" s="769"/>
      <c r="Q824" s="769"/>
      <c r="R824" s="769"/>
      <c r="S824" s="763"/>
      <c r="T824" s="761"/>
      <c r="U824" s="787"/>
      <c r="V824" s="787"/>
      <c r="W824" s="787"/>
      <c r="X824" s="787"/>
      <c r="Y824" s="759"/>
      <c r="Z824" s="761"/>
      <c r="AA824" s="802"/>
      <c r="AB824" s="767"/>
      <c r="AC824" s="767"/>
      <c r="AD824" s="767"/>
      <c r="AE824" s="767"/>
      <c r="AF824" s="767"/>
      <c r="AG824" s="767"/>
      <c r="AH824" s="767"/>
      <c r="AI824" s="767"/>
      <c r="AJ824" s="767"/>
      <c r="AK824" s="767"/>
      <c r="AL824" s="767"/>
      <c r="AM824" s="767"/>
      <c r="AN824" s="767"/>
      <c r="AO824" s="767"/>
      <c r="AP824" s="767"/>
    </row>
    <row r="825" spans="1:42">
      <c r="A825" s="767"/>
      <c r="B825" s="767"/>
      <c r="C825" s="767"/>
      <c r="D825" s="767"/>
      <c r="E825" s="767"/>
      <c r="F825" s="787"/>
      <c r="G825" s="770"/>
      <c r="H825" s="761"/>
      <c r="I825" s="767"/>
      <c r="K825" s="790"/>
      <c r="O825" s="769"/>
      <c r="P825" s="769"/>
      <c r="Q825" s="769"/>
      <c r="R825" s="769"/>
      <c r="S825" s="763"/>
      <c r="T825" s="761"/>
      <c r="U825" s="787"/>
      <c r="V825" s="787"/>
      <c r="W825" s="787"/>
      <c r="X825" s="787"/>
      <c r="Y825" s="759"/>
      <c r="Z825" s="761"/>
      <c r="AA825" s="802"/>
      <c r="AB825" s="767"/>
      <c r="AC825" s="767"/>
      <c r="AD825" s="767"/>
      <c r="AE825" s="767"/>
      <c r="AF825" s="767"/>
      <c r="AG825" s="767"/>
      <c r="AH825" s="767"/>
      <c r="AI825" s="767"/>
      <c r="AJ825" s="767"/>
      <c r="AK825" s="767"/>
      <c r="AL825" s="767"/>
      <c r="AM825" s="767"/>
      <c r="AN825" s="767"/>
      <c r="AO825" s="767"/>
      <c r="AP825" s="767"/>
    </row>
    <row r="826" spans="1:42">
      <c r="A826" s="767"/>
      <c r="B826" s="767"/>
      <c r="C826" s="767"/>
      <c r="D826" s="767"/>
      <c r="E826" s="767"/>
      <c r="F826" s="787"/>
      <c r="G826" s="770"/>
      <c r="H826" s="761"/>
      <c r="I826" s="767"/>
      <c r="K826" s="790"/>
      <c r="O826" s="769"/>
      <c r="P826" s="769"/>
      <c r="Q826" s="769"/>
      <c r="R826" s="769"/>
      <c r="S826" s="763"/>
      <c r="T826" s="761"/>
      <c r="U826" s="787"/>
      <c r="V826" s="787"/>
      <c r="W826" s="787"/>
      <c r="X826" s="787"/>
      <c r="Y826" s="759"/>
      <c r="Z826" s="761"/>
      <c r="AA826" s="802"/>
      <c r="AB826" s="767"/>
      <c r="AC826" s="767"/>
      <c r="AD826" s="767"/>
      <c r="AE826" s="767"/>
      <c r="AF826" s="767"/>
      <c r="AG826" s="767"/>
      <c r="AH826" s="767"/>
      <c r="AI826" s="767"/>
      <c r="AJ826" s="767"/>
      <c r="AK826" s="767"/>
      <c r="AL826" s="767"/>
      <c r="AM826" s="767"/>
      <c r="AN826" s="767"/>
      <c r="AO826" s="767"/>
      <c r="AP826" s="767"/>
    </row>
    <row r="827" spans="1:42">
      <c r="A827" s="767"/>
      <c r="B827" s="767"/>
      <c r="C827" s="767"/>
      <c r="D827" s="767"/>
      <c r="E827" s="767"/>
      <c r="F827" s="787"/>
      <c r="G827" s="770"/>
      <c r="H827" s="761"/>
      <c r="I827" s="767"/>
      <c r="K827" s="790"/>
      <c r="O827" s="769"/>
      <c r="P827" s="769"/>
      <c r="Q827" s="769"/>
      <c r="R827" s="769"/>
      <c r="S827" s="763"/>
      <c r="T827" s="761"/>
      <c r="U827" s="787"/>
      <c r="V827" s="787"/>
      <c r="W827" s="787"/>
      <c r="X827" s="787"/>
      <c r="Y827" s="759"/>
      <c r="Z827" s="761"/>
      <c r="AA827" s="802"/>
      <c r="AB827" s="767"/>
      <c r="AC827" s="767"/>
      <c r="AD827" s="767"/>
      <c r="AE827" s="767"/>
      <c r="AF827" s="767"/>
      <c r="AG827" s="767"/>
      <c r="AH827" s="767"/>
      <c r="AI827" s="767"/>
      <c r="AJ827" s="767"/>
      <c r="AK827" s="767"/>
      <c r="AL827" s="767"/>
      <c r="AM827" s="767"/>
      <c r="AN827" s="767"/>
      <c r="AO827" s="767"/>
      <c r="AP827" s="767"/>
    </row>
    <row r="828" spans="1:42">
      <c r="A828" s="767"/>
      <c r="B828" s="767"/>
      <c r="C828" s="767"/>
      <c r="D828" s="767"/>
      <c r="E828" s="767"/>
      <c r="F828" s="787"/>
      <c r="G828" s="770"/>
      <c r="H828" s="761"/>
      <c r="I828" s="767"/>
      <c r="K828" s="790"/>
      <c r="O828" s="769"/>
      <c r="P828" s="769"/>
      <c r="Q828" s="769"/>
      <c r="R828" s="769"/>
      <c r="S828" s="763"/>
      <c r="T828" s="761"/>
      <c r="U828" s="787"/>
      <c r="V828" s="787"/>
      <c r="W828" s="787"/>
      <c r="X828" s="787"/>
      <c r="Y828" s="759"/>
      <c r="Z828" s="761"/>
      <c r="AA828" s="802"/>
      <c r="AB828" s="767"/>
      <c r="AC828" s="767"/>
      <c r="AD828" s="767"/>
      <c r="AE828" s="767"/>
      <c r="AF828" s="767"/>
      <c r="AG828" s="767"/>
      <c r="AH828" s="767"/>
      <c r="AI828" s="767"/>
      <c r="AJ828" s="767"/>
      <c r="AK828" s="767"/>
      <c r="AL828" s="767"/>
      <c r="AM828" s="767"/>
      <c r="AN828" s="767"/>
      <c r="AO828" s="767"/>
      <c r="AP828" s="767"/>
    </row>
    <row r="829" spans="1:42">
      <c r="A829" s="767"/>
      <c r="B829" s="767"/>
      <c r="C829" s="767"/>
      <c r="D829" s="767"/>
      <c r="E829" s="767"/>
      <c r="F829" s="787"/>
      <c r="G829" s="770"/>
      <c r="H829" s="761"/>
      <c r="I829" s="767"/>
      <c r="K829" s="790"/>
      <c r="O829" s="769"/>
      <c r="P829" s="769"/>
      <c r="Q829" s="769"/>
      <c r="R829" s="769"/>
      <c r="S829" s="763"/>
      <c r="T829" s="761"/>
      <c r="U829" s="787"/>
      <c r="V829" s="787"/>
      <c r="W829" s="787"/>
      <c r="X829" s="787"/>
      <c r="Y829" s="759"/>
      <c r="Z829" s="761"/>
      <c r="AA829" s="802"/>
      <c r="AB829" s="767"/>
      <c r="AC829" s="767"/>
      <c r="AD829" s="767"/>
      <c r="AE829" s="767"/>
      <c r="AF829" s="767"/>
      <c r="AG829" s="767"/>
      <c r="AH829" s="767"/>
      <c r="AI829" s="767"/>
      <c r="AJ829" s="767"/>
      <c r="AK829" s="767"/>
      <c r="AL829" s="767"/>
      <c r="AM829" s="767"/>
      <c r="AN829" s="767"/>
      <c r="AO829" s="767"/>
      <c r="AP829" s="767"/>
    </row>
    <row r="830" spans="1:42">
      <c r="A830" s="767"/>
      <c r="B830" s="767"/>
      <c r="C830" s="767"/>
      <c r="D830" s="767"/>
      <c r="E830" s="767"/>
      <c r="F830" s="787"/>
      <c r="G830" s="770"/>
      <c r="H830" s="761"/>
      <c r="I830" s="767"/>
      <c r="K830" s="790"/>
      <c r="O830" s="769"/>
      <c r="P830" s="769"/>
      <c r="Q830" s="769"/>
      <c r="R830" s="769"/>
      <c r="S830" s="763"/>
      <c r="T830" s="761"/>
      <c r="U830" s="787"/>
      <c r="V830" s="787"/>
      <c r="W830" s="787"/>
      <c r="X830" s="787"/>
      <c r="Y830" s="759"/>
      <c r="Z830" s="761"/>
      <c r="AA830" s="802"/>
      <c r="AB830" s="767"/>
      <c r="AC830" s="767"/>
      <c r="AD830" s="767"/>
      <c r="AE830" s="767"/>
      <c r="AF830" s="767"/>
      <c r="AG830" s="767"/>
      <c r="AH830" s="767"/>
      <c r="AI830" s="767"/>
      <c r="AJ830" s="767"/>
      <c r="AK830" s="767"/>
      <c r="AL830" s="767"/>
      <c r="AM830" s="767"/>
      <c r="AN830" s="767"/>
      <c r="AO830" s="767"/>
      <c r="AP830" s="767"/>
    </row>
    <row r="831" spans="1:42">
      <c r="A831" s="767"/>
      <c r="B831" s="767"/>
      <c r="C831" s="767"/>
      <c r="D831" s="767"/>
      <c r="E831" s="767"/>
      <c r="F831" s="787"/>
      <c r="G831" s="770"/>
      <c r="H831" s="761"/>
      <c r="I831" s="767"/>
      <c r="K831" s="790"/>
      <c r="O831" s="769"/>
      <c r="P831" s="769"/>
      <c r="Q831" s="769"/>
      <c r="R831" s="769"/>
      <c r="S831" s="763"/>
      <c r="T831" s="761"/>
      <c r="U831" s="787"/>
      <c r="V831" s="787"/>
      <c r="W831" s="787"/>
      <c r="X831" s="771"/>
      <c r="Y831" s="759"/>
      <c r="Z831" s="761"/>
      <c r="AA831" s="802"/>
      <c r="AB831" s="767"/>
      <c r="AC831" s="767"/>
      <c r="AD831" s="767"/>
      <c r="AE831" s="767"/>
      <c r="AF831" s="767"/>
      <c r="AG831" s="767"/>
      <c r="AH831" s="767"/>
      <c r="AI831" s="767"/>
      <c r="AJ831" s="767"/>
      <c r="AK831" s="767"/>
      <c r="AL831" s="767"/>
      <c r="AM831" s="767"/>
      <c r="AN831" s="767"/>
      <c r="AO831" s="767"/>
      <c r="AP831" s="767"/>
    </row>
    <row r="832" spans="1:42">
      <c r="A832" s="767"/>
      <c r="B832" s="767"/>
      <c r="C832" s="767"/>
      <c r="D832" s="767"/>
      <c r="E832" s="767"/>
      <c r="F832" s="787"/>
      <c r="G832" s="770"/>
      <c r="H832" s="761"/>
      <c r="I832" s="767"/>
      <c r="K832" s="790"/>
      <c r="O832" s="769"/>
      <c r="P832" s="769"/>
      <c r="Q832" s="769"/>
      <c r="R832" s="769"/>
      <c r="S832" s="763"/>
      <c r="T832" s="761"/>
      <c r="U832" s="787"/>
      <c r="V832" s="787"/>
      <c r="W832" s="787"/>
      <c r="X832" s="771"/>
      <c r="Y832" s="759"/>
      <c r="Z832" s="761"/>
      <c r="AA832" s="802"/>
      <c r="AB832" s="767"/>
      <c r="AC832" s="767"/>
      <c r="AD832" s="767"/>
      <c r="AE832" s="767"/>
      <c r="AF832" s="767"/>
      <c r="AG832" s="767"/>
      <c r="AH832" s="767"/>
      <c r="AI832" s="767"/>
      <c r="AJ832" s="767"/>
      <c r="AK832" s="767"/>
      <c r="AL832" s="767"/>
      <c r="AM832" s="767"/>
      <c r="AN832" s="767"/>
      <c r="AO832" s="767"/>
      <c r="AP832" s="767"/>
    </row>
    <row r="833" spans="1:42">
      <c r="A833" s="767"/>
      <c r="B833" s="767"/>
      <c r="C833" s="767"/>
      <c r="D833" s="767"/>
      <c r="E833" s="767"/>
      <c r="F833" s="787"/>
      <c r="G833" s="770"/>
      <c r="H833" s="761"/>
      <c r="I833" s="767"/>
      <c r="K833" s="790"/>
      <c r="O833" s="769"/>
      <c r="P833" s="769"/>
      <c r="Q833" s="769"/>
      <c r="R833" s="769"/>
      <c r="S833" s="763"/>
      <c r="T833" s="761"/>
      <c r="U833" s="787"/>
      <c r="V833" s="787"/>
      <c r="W833" s="787"/>
      <c r="X833" s="771"/>
      <c r="Y833" s="759"/>
      <c r="Z833" s="761"/>
      <c r="AA833" s="802"/>
      <c r="AB833" s="767"/>
      <c r="AC833" s="767"/>
      <c r="AD833" s="767"/>
      <c r="AE833" s="767"/>
      <c r="AF833" s="767"/>
      <c r="AG833" s="767"/>
      <c r="AH833" s="767"/>
      <c r="AI833" s="767"/>
      <c r="AJ833" s="767"/>
      <c r="AK833" s="767"/>
      <c r="AL833" s="767"/>
      <c r="AM833" s="767"/>
      <c r="AN833" s="767"/>
      <c r="AO833" s="767"/>
      <c r="AP833" s="767"/>
    </row>
    <row r="834" spans="1:42">
      <c r="A834" s="767"/>
      <c r="B834" s="767"/>
      <c r="C834" s="767"/>
      <c r="D834" s="767"/>
      <c r="E834" s="767"/>
      <c r="F834" s="787"/>
      <c r="G834" s="770"/>
      <c r="H834" s="761"/>
      <c r="I834" s="767"/>
      <c r="K834" s="790"/>
      <c r="O834" s="769"/>
      <c r="P834" s="769"/>
      <c r="Q834" s="769"/>
      <c r="R834" s="769"/>
      <c r="S834" s="763"/>
      <c r="T834" s="761"/>
      <c r="U834" s="787"/>
      <c r="V834" s="787"/>
      <c r="W834" s="787"/>
      <c r="X834" s="771"/>
      <c r="Y834" s="759"/>
      <c r="Z834" s="761"/>
      <c r="AA834" s="802"/>
      <c r="AB834" s="767"/>
      <c r="AC834" s="767"/>
      <c r="AD834" s="767"/>
      <c r="AE834" s="767"/>
      <c r="AF834" s="767"/>
      <c r="AG834" s="767"/>
      <c r="AH834" s="767"/>
      <c r="AI834" s="767"/>
      <c r="AJ834" s="767"/>
      <c r="AK834" s="767"/>
      <c r="AL834" s="767"/>
      <c r="AM834" s="767"/>
      <c r="AN834" s="767"/>
      <c r="AO834" s="767"/>
      <c r="AP834" s="767"/>
    </row>
    <row r="835" spans="1:42">
      <c r="A835" s="767"/>
      <c r="B835" s="767"/>
      <c r="C835" s="767"/>
      <c r="D835" s="767"/>
      <c r="E835" s="767"/>
      <c r="F835" s="787"/>
      <c r="G835" s="770"/>
      <c r="H835" s="761"/>
      <c r="I835" s="767"/>
      <c r="K835" s="790"/>
      <c r="O835" s="769"/>
      <c r="P835" s="769"/>
      <c r="Q835" s="769"/>
      <c r="R835" s="769"/>
      <c r="S835" s="763"/>
      <c r="T835" s="761"/>
      <c r="U835" s="787"/>
      <c r="V835" s="787"/>
      <c r="W835" s="787"/>
      <c r="X835" s="771"/>
      <c r="Y835" s="759"/>
      <c r="Z835" s="761"/>
      <c r="AA835" s="802"/>
      <c r="AB835" s="767"/>
      <c r="AC835" s="767"/>
      <c r="AD835" s="767"/>
      <c r="AE835" s="767"/>
      <c r="AF835" s="767"/>
      <c r="AG835" s="767"/>
      <c r="AH835" s="767"/>
      <c r="AI835" s="767"/>
      <c r="AJ835" s="767"/>
      <c r="AK835" s="767"/>
      <c r="AL835" s="767"/>
      <c r="AM835" s="767"/>
      <c r="AN835" s="767"/>
      <c r="AO835" s="767"/>
      <c r="AP835" s="767"/>
    </row>
    <row r="836" spans="1:42">
      <c r="A836" s="767"/>
      <c r="B836" s="767"/>
      <c r="C836" s="767"/>
      <c r="D836" s="767"/>
      <c r="E836" s="767"/>
      <c r="F836" s="787"/>
      <c r="G836" s="770"/>
      <c r="H836" s="761"/>
      <c r="I836" s="767"/>
      <c r="K836" s="790"/>
      <c r="O836" s="769"/>
      <c r="P836" s="769"/>
      <c r="Q836" s="769"/>
      <c r="R836" s="769"/>
      <c r="S836" s="763"/>
      <c r="T836" s="761"/>
      <c r="U836" s="787"/>
      <c r="V836" s="787"/>
      <c r="W836" s="787"/>
      <c r="X836" s="771"/>
      <c r="Y836" s="759"/>
      <c r="Z836" s="761"/>
      <c r="AA836" s="802"/>
      <c r="AB836" s="767"/>
      <c r="AC836" s="767"/>
      <c r="AD836" s="767"/>
      <c r="AE836" s="767"/>
      <c r="AF836" s="767"/>
      <c r="AG836" s="767"/>
      <c r="AH836" s="767"/>
      <c r="AI836" s="767"/>
      <c r="AJ836" s="767"/>
      <c r="AK836" s="767"/>
      <c r="AL836" s="767"/>
      <c r="AM836" s="767"/>
      <c r="AN836" s="767"/>
      <c r="AO836" s="767"/>
      <c r="AP836" s="767"/>
    </row>
    <row r="837" spans="1:42">
      <c r="A837" s="767"/>
      <c r="B837" s="767"/>
      <c r="C837" s="767"/>
      <c r="D837" s="767"/>
      <c r="E837" s="767"/>
      <c r="F837" s="787"/>
      <c r="G837" s="770"/>
      <c r="H837" s="761"/>
      <c r="I837" s="767"/>
      <c r="K837" s="790"/>
      <c r="O837" s="769"/>
      <c r="P837" s="769"/>
      <c r="Q837" s="769"/>
      <c r="R837" s="769"/>
      <c r="S837" s="763"/>
      <c r="T837" s="761"/>
      <c r="U837" s="787"/>
      <c r="V837" s="787"/>
      <c r="W837" s="787"/>
      <c r="X837" s="771"/>
      <c r="Y837" s="759"/>
      <c r="Z837" s="761"/>
      <c r="AA837" s="802"/>
      <c r="AB837" s="767"/>
      <c r="AC837" s="767"/>
      <c r="AD837" s="767"/>
      <c r="AE837" s="767"/>
      <c r="AF837" s="767"/>
      <c r="AG837" s="767"/>
      <c r="AH837" s="767"/>
      <c r="AI837" s="767"/>
      <c r="AJ837" s="767"/>
      <c r="AK837" s="767"/>
      <c r="AL837" s="767"/>
      <c r="AM837" s="767"/>
      <c r="AN837" s="767"/>
      <c r="AO837" s="767"/>
      <c r="AP837" s="767"/>
    </row>
    <row r="838" spans="1:42">
      <c r="A838" s="767"/>
      <c r="B838" s="767"/>
      <c r="C838" s="767"/>
      <c r="D838" s="767"/>
      <c r="E838" s="767"/>
      <c r="F838" s="787"/>
      <c r="G838" s="770"/>
      <c r="H838" s="761"/>
      <c r="I838" s="767"/>
      <c r="K838" s="790"/>
      <c r="O838" s="769"/>
      <c r="P838" s="769"/>
      <c r="Q838" s="769"/>
      <c r="R838" s="769"/>
      <c r="S838" s="763"/>
      <c r="T838" s="761"/>
      <c r="U838" s="787"/>
      <c r="V838" s="787"/>
      <c r="W838" s="787"/>
      <c r="X838" s="771"/>
      <c r="Y838" s="759"/>
      <c r="Z838" s="761"/>
      <c r="AA838" s="802"/>
      <c r="AB838" s="767"/>
      <c r="AC838" s="767"/>
      <c r="AD838" s="767"/>
      <c r="AE838" s="767"/>
      <c r="AF838" s="767"/>
      <c r="AG838" s="767"/>
      <c r="AH838" s="767"/>
      <c r="AI838" s="767"/>
      <c r="AJ838" s="767"/>
      <c r="AK838" s="767"/>
      <c r="AL838" s="767"/>
      <c r="AM838" s="767"/>
      <c r="AN838" s="767"/>
      <c r="AO838" s="767"/>
      <c r="AP838" s="767"/>
    </row>
  </sheetData>
  <sortState xmlns:xlrd2="http://schemas.microsoft.com/office/spreadsheetml/2017/richdata2" ref="A213:Y768">
    <sortCondition sortBy="cellColor" ref="U213:U768"/>
  </sortState>
  <mergeCells count="1625">
    <mergeCell ref="A737:A758"/>
    <mergeCell ref="B737:B758"/>
    <mergeCell ref="C756:C758"/>
    <mergeCell ref="D756:D758"/>
    <mergeCell ref="E756:E758"/>
    <mergeCell ref="F756:F758"/>
    <mergeCell ref="G756:G758"/>
    <mergeCell ref="H756:H758"/>
    <mergeCell ref="Q737:Q758"/>
    <mergeCell ref="R737:R758"/>
    <mergeCell ref="S737:S758"/>
    <mergeCell ref="T756:T758"/>
    <mergeCell ref="U756:U758"/>
    <mergeCell ref="V756:V758"/>
    <mergeCell ref="W756:W758"/>
    <mergeCell ref="X756:X758"/>
    <mergeCell ref="X159:X161"/>
    <mergeCell ref="W623:W624"/>
    <mergeCell ref="W616:W622"/>
    <mergeCell ref="W614:W615"/>
    <mergeCell ref="D342:D344"/>
    <mergeCell ref="A398:A399"/>
    <mergeCell ref="F220:F224"/>
    <mergeCell ref="B213:B218"/>
    <mergeCell ref="S331:S333"/>
    <mergeCell ref="A401:A403"/>
    <mergeCell ref="A554:A555"/>
    <mergeCell ref="A331:A333"/>
    <mergeCell ref="A531:A532"/>
    <mergeCell ref="C409:C411"/>
    <mergeCell ref="C213:C218"/>
    <mergeCell ref="Y376:Y379"/>
    <mergeCell ref="W239:W240"/>
    <mergeCell ref="X239:X240"/>
    <mergeCell ref="Y239:Y240"/>
    <mergeCell ref="Z239:Z240"/>
    <mergeCell ref="AA239:AA240"/>
    <mergeCell ref="Z380:Z382"/>
    <mergeCell ref="AA380:AA382"/>
    <mergeCell ref="A712:A736"/>
    <mergeCell ref="B712:B736"/>
    <mergeCell ref="D712:D736"/>
    <mergeCell ref="Q712:Q736"/>
    <mergeCell ref="R712:R736"/>
    <mergeCell ref="S712:S736"/>
    <mergeCell ref="A614:A615"/>
    <mergeCell ref="B614:B615"/>
    <mergeCell ref="C614:C615"/>
    <mergeCell ref="C419:C426"/>
    <mergeCell ref="B398:B399"/>
    <mergeCell ref="E342:E344"/>
    <mergeCell ref="Q591:Q595"/>
    <mergeCell ref="AA554:AA555"/>
    <mergeCell ref="Y459:Y460"/>
    <mergeCell ref="Z459:Z460"/>
    <mergeCell ref="W567:W569"/>
    <mergeCell ref="Y623:Y624"/>
    <mergeCell ref="AA67:AA70"/>
    <mergeCell ref="F74:F75"/>
    <mergeCell ref="E74:E75"/>
    <mergeCell ref="D74:D75"/>
    <mergeCell ref="C74:C75"/>
    <mergeCell ref="B74:B75"/>
    <mergeCell ref="A74:A75"/>
    <mergeCell ref="Q74:Q75"/>
    <mergeCell ref="R74:R75"/>
    <mergeCell ref="S74:S75"/>
    <mergeCell ref="T74:T75"/>
    <mergeCell ref="U74:U75"/>
    <mergeCell ref="V74:V75"/>
    <mergeCell ref="Y74:Y75"/>
    <mergeCell ref="G74:G75"/>
    <mergeCell ref="H74:H75"/>
    <mergeCell ref="Z74:Z75"/>
    <mergeCell ref="AA74:AA75"/>
    <mergeCell ref="X71:X72"/>
    <mergeCell ref="C71:C72"/>
    <mergeCell ref="D71:D72"/>
    <mergeCell ref="AA112:AA117"/>
    <mergeCell ref="G389:G394"/>
    <mergeCell ref="AA323:AA330"/>
    <mergeCell ref="Y323:Y330"/>
    <mergeCell ref="Z419:Z433"/>
    <mergeCell ref="Y334:Y337"/>
    <mergeCell ref="Y342:Y344"/>
    <mergeCell ref="W342:W344"/>
    <mergeCell ref="Y85:Y86"/>
    <mergeCell ref="Z85:Z86"/>
    <mergeCell ref="A159:A161"/>
    <mergeCell ref="B159:B161"/>
    <mergeCell ref="C159:C161"/>
    <mergeCell ref="D159:D161"/>
    <mergeCell ref="E159:E161"/>
    <mergeCell ref="F159:F161"/>
    <mergeCell ref="G159:G161"/>
    <mergeCell ref="H159:H161"/>
    <mergeCell ref="Q159:Q161"/>
    <mergeCell ref="R159:R161"/>
    <mergeCell ref="S159:S161"/>
    <mergeCell ref="T159:T161"/>
    <mergeCell ref="U159:U161"/>
    <mergeCell ref="V159:V161"/>
    <mergeCell ref="W159:W161"/>
    <mergeCell ref="A380:A382"/>
    <mergeCell ref="B380:B382"/>
    <mergeCell ref="C380:C382"/>
    <mergeCell ref="D380:D382"/>
    <mergeCell ref="E380:E382"/>
    <mergeCell ref="V380:V382"/>
    <mergeCell ref="W380:W382"/>
    <mergeCell ref="Y159:Y161"/>
    <mergeCell ref="Z159:Z161"/>
    <mergeCell ref="A334:A337"/>
    <mergeCell ref="E419:E426"/>
    <mergeCell ref="AA376:AA379"/>
    <mergeCell ref="Y591:Y595"/>
    <mergeCell ref="Z531:Z532"/>
    <mergeCell ref="Q614:Q615"/>
    <mergeCell ref="E616:E622"/>
    <mergeCell ref="AA614:AA615"/>
    <mergeCell ref="U507:U508"/>
    <mergeCell ref="A163:A182"/>
    <mergeCell ref="Y163:Y182"/>
    <mergeCell ref="Z163:Z182"/>
    <mergeCell ref="AA163:AA182"/>
    <mergeCell ref="X163:X182"/>
    <mergeCell ref="W163:W182"/>
    <mergeCell ref="V163:V182"/>
    <mergeCell ref="T163:T182"/>
    <mergeCell ref="S163:S182"/>
    <mergeCell ref="R163:R182"/>
    <mergeCell ref="Q163:Q182"/>
    <mergeCell ref="H163:H182"/>
    <mergeCell ref="G163:G182"/>
    <mergeCell ref="F163:F182"/>
    <mergeCell ref="E163:E182"/>
    <mergeCell ref="AA419:AA431"/>
    <mergeCell ref="D163:D182"/>
    <mergeCell ref="C163:C182"/>
    <mergeCell ref="B163:B182"/>
    <mergeCell ref="AA582:AA584"/>
    <mergeCell ref="S614:S615"/>
    <mergeCell ref="Y570:Y571"/>
    <mergeCell ref="Y461:Y467"/>
    <mergeCell ref="Y554:Y555"/>
    <mergeCell ref="Z554:Z555"/>
    <mergeCell ref="X591:X595"/>
    <mergeCell ref="X614:X615"/>
    <mergeCell ref="X616:X622"/>
    <mergeCell ref="X623:X624"/>
    <mergeCell ref="X461:X467"/>
    <mergeCell ref="AA498:AA504"/>
    <mergeCell ref="W570:W571"/>
    <mergeCell ref="AA576:AA579"/>
    <mergeCell ref="T554:T555"/>
    <mergeCell ref="Z623:Z624"/>
    <mergeCell ref="Z376:Z379"/>
    <mergeCell ref="X380:X382"/>
    <mergeCell ref="B81:B84"/>
    <mergeCell ref="F81:F84"/>
    <mergeCell ref="G434:G435"/>
    <mergeCell ref="C412:C413"/>
    <mergeCell ref="Q342:Q344"/>
    <mergeCell ref="E459:E460"/>
    <mergeCell ref="F459:F460"/>
    <mergeCell ref="H539:H544"/>
    <mergeCell ref="F334:F337"/>
    <mergeCell ref="E334:E337"/>
    <mergeCell ref="C359:C363"/>
    <mergeCell ref="D320:D322"/>
    <mergeCell ref="Q498:Q504"/>
    <mergeCell ref="R498:R504"/>
    <mergeCell ref="Z570:Z571"/>
    <mergeCell ref="X570:X571"/>
    <mergeCell ref="H452:H453"/>
    <mergeCell ref="Q461:Q467"/>
    <mergeCell ref="F440:F442"/>
    <mergeCell ref="U459:U460"/>
    <mergeCell ref="R562:R564"/>
    <mergeCell ref="H557:H558"/>
    <mergeCell ref="A81:A84"/>
    <mergeCell ref="A85:A86"/>
    <mergeCell ref="B85:B86"/>
    <mergeCell ref="C85:C86"/>
    <mergeCell ref="U554:U555"/>
    <mergeCell ref="F419:F426"/>
    <mergeCell ref="F380:F382"/>
    <mergeCell ref="G380:G382"/>
    <mergeCell ref="H380:H382"/>
    <mergeCell ref="Q380:Q382"/>
    <mergeCell ref="R380:R382"/>
    <mergeCell ref="S380:S382"/>
    <mergeCell ref="T380:T382"/>
    <mergeCell ref="U380:U382"/>
    <mergeCell ref="C440:C442"/>
    <mergeCell ref="A434:A435"/>
    <mergeCell ref="S376:S379"/>
    <mergeCell ref="T376:T379"/>
    <mergeCell ref="U376:U379"/>
    <mergeCell ref="S142:S143"/>
    <mergeCell ref="R239:R240"/>
    <mergeCell ref="S239:S240"/>
    <mergeCell ref="T239:T240"/>
    <mergeCell ref="U239:U240"/>
    <mergeCell ref="B554:B555"/>
    <mergeCell ref="C554:C555"/>
    <mergeCell ref="R131:R132"/>
    <mergeCell ref="Q150:Q158"/>
    <mergeCell ref="R150:R158"/>
    <mergeCell ref="F128:F129"/>
    <mergeCell ref="F131:F132"/>
    <mergeCell ref="Q188:Q190"/>
    <mergeCell ref="R188:R190"/>
    <mergeCell ref="C387:C388"/>
    <mergeCell ref="D387:D388"/>
    <mergeCell ref="E387:E388"/>
    <mergeCell ref="B387:B388"/>
    <mergeCell ref="B401:B403"/>
    <mergeCell ref="H331:H333"/>
    <mergeCell ref="F427:F430"/>
    <mergeCell ref="F434:F435"/>
    <mergeCell ref="G554:G555"/>
    <mergeCell ref="H554:H555"/>
    <mergeCell ref="D220:D224"/>
    <mergeCell ref="C201:C203"/>
    <mergeCell ref="C220:C224"/>
    <mergeCell ref="B220:B224"/>
    <mergeCell ref="F398:F399"/>
    <mergeCell ref="E507:E508"/>
    <mergeCell ref="T440:T442"/>
    <mergeCell ref="E452:E453"/>
    <mergeCell ref="Q515:Q518"/>
    <mergeCell ref="D554:D555"/>
    <mergeCell ref="E554:E555"/>
    <mergeCell ref="F554:F555"/>
    <mergeCell ref="D459:D460"/>
    <mergeCell ref="A245:A295"/>
    <mergeCell ref="B245:B295"/>
    <mergeCell ref="A348:A350"/>
    <mergeCell ref="A389:A394"/>
    <mergeCell ref="A342:A344"/>
    <mergeCell ref="B389:B394"/>
    <mergeCell ref="D368:D370"/>
    <mergeCell ref="E368:E370"/>
    <mergeCell ref="F368:F370"/>
    <mergeCell ref="B434:B435"/>
    <mergeCell ref="A142:A143"/>
    <mergeCell ref="A131:A132"/>
    <mergeCell ref="D213:D218"/>
    <mergeCell ref="D150:D158"/>
    <mergeCell ref="C204:C207"/>
    <mergeCell ref="D201:D209"/>
    <mergeCell ref="A459:A460"/>
    <mergeCell ref="A387:A388"/>
    <mergeCell ref="A368:A370"/>
    <mergeCell ref="A419:A433"/>
    <mergeCell ref="A452:A453"/>
    <mergeCell ref="C368:C370"/>
    <mergeCell ref="A409:A413"/>
    <mergeCell ref="A507:A508"/>
    <mergeCell ref="E296:E313"/>
    <mergeCell ref="F296:F313"/>
    <mergeCell ref="F452:F453"/>
    <mergeCell ref="A376:A379"/>
    <mergeCell ref="B376:B379"/>
    <mergeCell ref="C376:C379"/>
    <mergeCell ref="D376:D379"/>
    <mergeCell ref="E376:E379"/>
    <mergeCell ref="F376:F379"/>
    <mergeCell ref="F85:F86"/>
    <mergeCell ref="G85:G86"/>
    <mergeCell ref="H85:H86"/>
    <mergeCell ref="A94:A97"/>
    <mergeCell ref="A112:A117"/>
    <mergeCell ref="B94:B97"/>
    <mergeCell ref="C94:C97"/>
    <mergeCell ref="D94:D97"/>
    <mergeCell ref="E94:E97"/>
    <mergeCell ref="E142:E143"/>
    <mergeCell ref="F142:F143"/>
    <mergeCell ref="G142:G143"/>
    <mergeCell ref="A359:A363"/>
    <mergeCell ref="B359:B363"/>
    <mergeCell ref="A320:A322"/>
    <mergeCell ref="G334:G337"/>
    <mergeCell ref="F331:F333"/>
    <mergeCell ref="C331:C333"/>
    <mergeCell ref="G331:G333"/>
    <mergeCell ref="E128:E129"/>
    <mergeCell ref="G239:G240"/>
    <mergeCell ref="H239:H240"/>
    <mergeCell ref="D359:D363"/>
    <mergeCell ref="A7:A11"/>
    <mergeCell ref="E7:E11"/>
    <mergeCell ref="F7:F11"/>
    <mergeCell ref="G7:G11"/>
    <mergeCell ref="H7:H11"/>
    <mergeCell ref="Q7:Q11"/>
    <mergeCell ref="E13:E14"/>
    <mergeCell ref="F13:F14"/>
    <mergeCell ref="A19:A26"/>
    <mergeCell ref="A150:A158"/>
    <mergeCell ref="A128:A129"/>
    <mergeCell ref="A201:A209"/>
    <mergeCell ref="B201:B209"/>
    <mergeCell ref="D131:D132"/>
    <mergeCell ref="A100:A111"/>
    <mergeCell ref="B100:B111"/>
    <mergeCell ref="G320:G322"/>
    <mergeCell ref="A323:A330"/>
    <mergeCell ref="B323:B330"/>
    <mergeCell ref="D334:D337"/>
    <mergeCell ref="D296:D313"/>
    <mergeCell ref="B128:B129"/>
    <mergeCell ref="F150:F158"/>
    <mergeCell ref="A239:A240"/>
    <mergeCell ref="B239:B240"/>
    <mergeCell ref="C239:C240"/>
    <mergeCell ref="D239:D240"/>
    <mergeCell ref="E239:E240"/>
    <mergeCell ref="F239:F240"/>
    <mergeCell ref="Q239:Q240"/>
    <mergeCell ref="H34:H36"/>
    <mergeCell ref="Q48:Q49"/>
    <mergeCell ref="S40:S44"/>
    <mergeCell ref="U40:U44"/>
    <mergeCell ref="F19:F26"/>
    <mergeCell ref="B29:B32"/>
    <mergeCell ref="A13:A14"/>
    <mergeCell ref="A15:A16"/>
    <mergeCell ref="B13:B14"/>
    <mergeCell ref="C13:C14"/>
    <mergeCell ref="D13:D14"/>
    <mergeCell ref="G15:G16"/>
    <mergeCell ref="D112:D117"/>
    <mergeCell ref="A220:A224"/>
    <mergeCell ref="C112:C117"/>
    <mergeCell ref="B142:B143"/>
    <mergeCell ref="A213:A218"/>
    <mergeCell ref="B188:B190"/>
    <mergeCell ref="R85:R86"/>
    <mergeCell ref="S67:S70"/>
    <mergeCell ref="T67:T70"/>
    <mergeCell ref="U67:U70"/>
    <mergeCell ref="R34:R36"/>
    <mergeCell ref="D40:D44"/>
    <mergeCell ref="D63:D66"/>
    <mergeCell ref="R40:R44"/>
    <mergeCell ref="Q63:Q66"/>
    <mergeCell ref="F40:F41"/>
    <mergeCell ref="Z7:Z11"/>
    <mergeCell ref="AA7:AA11"/>
    <mergeCell ref="B7:B11"/>
    <mergeCell ref="C7:C11"/>
    <mergeCell ref="D7:D11"/>
    <mergeCell ref="B48:B49"/>
    <mergeCell ref="Q15:Q16"/>
    <mergeCell ref="R13:R14"/>
    <mergeCell ref="G13:G14"/>
    <mergeCell ref="X7:X11"/>
    <mergeCell ref="Y7:Y11"/>
    <mergeCell ref="F63:F66"/>
    <mergeCell ref="R7:R11"/>
    <mergeCell ref="S7:S11"/>
    <mergeCell ref="T7:T11"/>
    <mergeCell ref="U7:U11"/>
    <mergeCell ref="G48:G49"/>
    <mergeCell ref="V7:V11"/>
    <mergeCell ref="W7:W11"/>
    <mergeCell ref="V40:V41"/>
    <mergeCell ref="G17:G18"/>
    <mergeCell ref="H17:H18"/>
    <mergeCell ref="B40:B44"/>
    <mergeCell ref="B15:B16"/>
    <mergeCell ref="R48:R49"/>
    <mergeCell ref="V13:V14"/>
    <mergeCell ref="H13:H14"/>
    <mergeCell ref="E78:E80"/>
    <mergeCell ref="Q71:Q72"/>
    <mergeCell ref="A63:A66"/>
    <mergeCell ref="F76:F77"/>
    <mergeCell ref="G40:G44"/>
    <mergeCell ref="H40:H44"/>
    <mergeCell ref="Q76:Q77"/>
    <mergeCell ref="A67:A70"/>
    <mergeCell ref="C67:C70"/>
    <mergeCell ref="D67:D70"/>
    <mergeCell ref="E67:E70"/>
    <mergeCell ref="F67:F70"/>
    <mergeCell ref="G67:G70"/>
    <mergeCell ref="H67:H70"/>
    <mergeCell ref="G76:G77"/>
    <mergeCell ref="E71:E72"/>
    <mergeCell ref="Q67:Q70"/>
    <mergeCell ref="E40:E41"/>
    <mergeCell ref="C40:C41"/>
    <mergeCell ref="D29:D32"/>
    <mergeCell ref="Q34:Q36"/>
    <mergeCell ref="C48:C49"/>
    <mergeCell ref="F71:F72"/>
    <mergeCell ref="B78:B80"/>
    <mergeCell ref="B67:B70"/>
    <mergeCell ref="A48:A49"/>
    <mergeCell ref="A29:A32"/>
    <mergeCell ref="A40:A44"/>
    <mergeCell ref="A34:A36"/>
    <mergeCell ref="B34:B36"/>
    <mergeCell ref="C34:C36"/>
    <mergeCell ref="V34:V36"/>
    <mergeCell ref="A17:A18"/>
    <mergeCell ref="B17:B18"/>
    <mergeCell ref="C17:C18"/>
    <mergeCell ref="D17:D18"/>
    <mergeCell ref="E17:E18"/>
    <mergeCell ref="F17:F18"/>
    <mergeCell ref="C15:C16"/>
    <mergeCell ref="C29:C32"/>
    <mergeCell ref="D15:D16"/>
    <mergeCell ref="E15:E16"/>
    <mergeCell ref="F15:F16"/>
    <mergeCell ref="B19:B26"/>
    <mergeCell ref="C19:C26"/>
    <mergeCell ref="D19:D26"/>
    <mergeCell ref="E19:E26"/>
    <mergeCell ref="U213:U218"/>
    <mergeCell ref="C128:C129"/>
    <mergeCell ref="C76:C77"/>
    <mergeCell ref="D76:D77"/>
    <mergeCell ref="E76:E77"/>
    <mergeCell ref="D78:D80"/>
    <mergeCell ref="A78:A80"/>
    <mergeCell ref="G34:G36"/>
    <mergeCell ref="S188:S190"/>
    <mergeCell ref="E213:E218"/>
    <mergeCell ref="R213:R218"/>
    <mergeCell ref="R201:R209"/>
    <mergeCell ref="S213:S218"/>
    <mergeCell ref="F94:F97"/>
    <mergeCell ref="D85:D86"/>
    <mergeCell ref="E85:E86"/>
    <mergeCell ref="Y13:Y14"/>
    <mergeCell ref="G29:G32"/>
    <mergeCell ref="Y17:Y18"/>
    <mergeCell ref="X29:X32"/>
    <mergeCell ref="V29:V32"/>
    <mergeCell ref="W29:W32"/>
    <mergeCell ref="S29:S32"/>
    <mergeCell ref="U19:U26"/>
    <mergeCell ref="H29:H32"/>
    <mergeCell ref="S13:S14"/>
    <mergeCell ref="S15:S16"/>
    <mergeCell ref="V19:V26"/>
    <mergeCell ref="W19:W26"/>
    <mergeCell ref="H19:H26"/>
    <mergeCell ref="Q19:Q26"/>
    <mergeCell ref="T17:T18"/>
    <mergeCell ref="U17:U18"/>
    <mergeCell ref="W17:W18"/>
    <mergeCell ref="U29:U32"/>
    <mergeCell ref="W13:W14"/>
    <mergeCell ref="U13:U14"/>
    <mergeCell ref="T15:T16"/>
    <mergeCell ref="U15:U16"/>
    <mergeCell ref="V15:V16"/>
    <mergeCell ref="W15:W16"/>
    <mergeCell ref="S17:S18"/>
    <mergeCell ref="Q13:Q14"/>
    <mergeCell ref="H15:H16"/>
    <mergeCell ref="R15:R16"/>
    <mergeCell ref="G19:G26"/>
    <mergeCell ref="T13:T14"/>
    <mergeCell ref="R19:R26"/>
    <mergeCell ref="AA19:AA26"/>
    <mergeCell ref="R17:R18"/>
    <mergeCell ref="U163:U181"/>
    <mergeCell ref="Q40:Q44"/>
    <mergeCell ref="AA34:AA36"/>
    <mergeCell ref="F34:F36"/>
    <mergeCell ref="B63:B66"/>
    <mergeCell ref="Z94:Z97"/>
    <mergeCell ref="G71:G72"/>
    <mergeCell ref="R76:R77"/>
    <mergeCell ref="T81:T84"/>
    <mergeCell ref="Z63:Z66"/>
    <mergeCell ref="Z71:Z72"/>
    <mergeCell ref="S78:S80"/>
    <mergeCell ref="AA81:AA84"/>
    <mergeCell ref="V76:V77"/>
    <mergeCell ref="U76:U77"/>
    <mergeCell ref="Q81:Q84"/>
    <mergeCell ref="H71:H72"/>
    <mergeCell ref="E42:E43"/>
    <mergeCell ref="C42:C43"/>
    <mergeCell ref="Z34:Z36"/>
    <mergeCell ref="E63:E66"/>
    <mergeCell ref="C63:C66"/>
    <mergeCell ref="W76:W77"/>
    <mergeCell ref="S81:S84"/>
    <mergeCell ref="B76:B77"/>
    <mergeCell ref="R71:R72"/>
    <mergeCell ref="H100:H111"/>
    <mergeCell ref="AA17:AA18"/>
    <mergeCell ref="Q17:Q18"/>
    <mergeCell ref="S48:S49"/>
    <mergeCell ref="A188:A190"/>
    <mergeCell ref="A76:A77"/>
    <mergeCell ref="A71:A72"/>
    <mergeCell ref="B71:B72"/>
    <mergeCell ref="X150:X158"/>
    <mergeCell ref="Y150:Y158"/>
    <mergeCell ref="D142:D143"/>
    <mergeCell ref="E81:E84"/>
    <mergeCell ref="V112:V117"/>
    <mergeCell ref="U100:U111"/>
    <mergeCell ref="T94:T97"/>
    <mergeCell ref="U150:U158"/>
    <mergeCell ref="V150:V158"/>
    <mergeCell ref="H188:H190"/>
    <mergeCell ref="G188:G190"/>
    <mergeCell ref="F188:F190"/>
    <mergeCell ref="E188:E190"/>
    <mergeCell ref="C142:C143"/>
    <mergeCell ref="Q85:Q86"/>
    <mergeCell ref="T142:T143"/>
    <mergeCell ref="B150:B158"/>
    <mergeCell ref="D81:D84"/>
    <mergeCell ref="T76:T77"/>
    <mergeCell ref="S94:S97"/>
    <mergeCell ref="H142:H143"/>
    <mergeCell ref="B112:B117"/>
    <mergeCell ref="F112:F117"/>
    <mergeCell ref="G112:G117"/>
    <mergeCell ref="S150:S158"/>
    <mergeCell ref="R128:R129"/>
    <mergeCell ref="Q128:Q129"/>
    <mergeCell ref="C81:C84"/>
    <mergeCell ref="F409:F413"/>
    <mergeCell ref="B452:B453"/>
    <mergeCell ref="C452:C453"/>
    <mergeCell ref="D452:D453"/>
    <mergeCell ref="B440:B442"/>
    <mergeCell ref="B409:B413"/>
    <mergeCell ref="B507:B508"/>
    <mergeCell ref="D507:D508"/>
    <mergeCell ref="G562:G564"/>
    <mergeCell ref="Q539:Q544"/>
    <mergeCell ref="Q531:Q532"/>
    <mergeCell ref="Q548:Q553"/>
    <mergeCell ref="H515:H518"/>
    <mergeCell ref="H419:H433"/>
    <mergeCell ref="E498:E504"/>
    <mergeCell ref="Y128:Y129"/>
    <mergeCell ref="W71:W72"/>
    <mergeCell ref="S85:S86"/>
    <mergeCell ref="T85:T86"/>
    <mergeCell ref="U85:U86"/>
    <mergeCell ref="V85:V86"/>
    <mergeCell ref="U131:U132"/>
    <mergeCell ref="B131:B132"/>
    <mergeCell ref="C131:C132"/>
    <mergeCell ref="G131:G132"/>
    <mergeCell ref="C100:C111"/>
    <mergeCell ref="W131:W132"/>
    <mergeCell ref="U188:U190"/>
    <mergeCell ref="E100:E111"/>
    <mergeCell ref="C150:C158"/>
    <mergeCell ref="H112:H117"/>
    <mergeCell ref="B334:B337"/>
    <mergeCell ref="T387:T388"/>
    <mergeCell ref="U461:U467"/>
    <mergeCell ref="V539:V544"/>
    <mergeCell ref="U539:U544"/>
    <mergeCell ref="V554:V555"/>
    <mergeCell ref="T359:T363"/>
    <mergeCell ref="U359:U363"/>
    <mergeCell ref="T539:T544"/>
    <mergeCell ref="T459:T460"/>
    <mergeCell ref="S434:S435"/>
    <mergeCell ref="S398:S399"/>
    <mergeCell ref="S401:S403"/>
    <mergeCell ref="S459:S460"/>
    <mergeCell ref="T427:T430"/>
    <mergeCell ref="X539:X544"/>
    <mergeCell ref="X548:X553"/>
    <mergeCell ref="V461:V467"/>
    <mergeCell ref="U446:U448"/>
    <mergeCell ref="T434:T435"/>
    <mergeCell ref="U434:U435"/>
    <mergeCell ref="V507:V508"/>
    <mergeCell ref="S507:S508"/>
    <mergeCell ref="V376:V379"/>
    <mergeCell ref="W376:W379"/>
    <mergeCell ref="X94:X97"/>
    <mergeCell ref="U401:U403"/>
    <mergeCell ref="AA100:AA111"/>
    <mergeCell ref="B567:B569"/>
    <mergeCell ref="C567:C569"/>
    <mergeCell ref="G387:G388"/>
    <mergeCell ref="G409:G413"/>
    <mergeCell ref="H591:H595"/>
    <mergeCell ref="C591:C595"/>
    <mergeCell ref="D591:D595"/>
    <mergeCell ref="E591:E595"/>
    <mergeCell ref="F591:F595"/>
    <mergeCell ref="G591:G595"/>
    <mergeCell ref="B570:B571"/>
    <mergeCell ref="C570:C571"/>
    <mergeCell ref="D570:D571"/>
    <mergeCell ref="R591:R595"/>
    <mergeCell ref="T591:T595"/>
    <mergeCell ref="E461:E467"/>
    <mergeCell ref="C446:C448"/>
    <mergeCell ref="C548:C553"/>
    <mergeCell ref="F548:F553"/>
    <mergeCell ref="S562:S564"/>
    <mergeCell ref="F582:F584"/>
    <mergeCell ref="Q576:Q579"/>
    <mergeCell ref="AA334:AA337"/>
    <mergeCell ref="AA342:AA344"/>
    <mergeCell ref="U368:U370"/>
    <mergeCell ref="V387:V388"/>
    <mergeCell ref="S359:S363"/>
    <mergeCell ref="S368:S370"/>
    <mergeCell ref="S409:S413"/>
    <mergeCell ref="Z48:Z49"/>
    <mergeCell ref="AA48:AA49"/>
    <mergeCell ref="AA94:AA97"/>
    <mergeCell ref="B348:B350"/>
    <mergeCell ref="D582:D584"/>
    <mergeCell ref="T614:T615"/>
    <mergeCell ref="T570:T571"/>
    <mergeCell ref="T582:T584"/>
    <mergeCell ref="F623:F624"/>
    <mergeCell ref="G570:G571"/>
    <mergeCell ref="S570:S571"/>
    <mergeCell ref="M591:M595"/>
    <mergeCell ref="W348:W350"/>
    <mergeCell ref="C507:C508"/>
    <mergeCell ref="E562:E564"/>
    <mergeCell ref="U614:U615"/>
    <mergeCell ref="C531:C532"/>
    <mergeCell ref="D531:D532"/>
    <mergeCell ref="F389:F394"/>
    <mergeCell ref="C389:C394"/>
    <mergeCell ref="B459:B460"/>
    <mergeCell ref="D398:D399"/>
    <mergeCell ref="B548:B553"/>
    <mergeCell ref="C562:C564"/>
    <mergeCell ref="D562:D564"/>
    <mergeCell ref="B368:B370"/>
    <mergeCell ref="H409:H413"/>
    <mergeCell ref="V348:V350"/>
    <mergeCell ref="H461:H467"/>
    <mergeCell ref="B446:B448"/>
    <mergeCell ref="S320:S322"/>
    <mergeCell ref="U142:U143"/>
    <mergeCell ref="G695:G699"/>
    <mergeCell ref="H695:H699"/>
    <mergeCell ref="R651:R699"/>
    <mergeCell ref="H616:H622"/>
    <mergeCell ref="H690:H694"/>
    <mergeCell ref="G690:G694"/>
    <mergeCell ref="F690:F694"/>
    <mergeCell ref="E690:E694"/>
    <mergeCell ref="E653:E665"/>
    <mergeCell ref="F686:F689"/>
    <mergeCell ref="F666:F684"/>
    <mergeCell ref="H686:H689"/>
    <mergeCell ref="C582:C584"/>
    <mergeCell ref="F695:F699"/>
    <mergeCell ref="Q554:Q555"/>
    <mergeCell ref="G686:G689"/>
    <mergeCell ref="Q623:Q624"/>
    <mergeCell ref="G623:G624"/>
    <mergeCell ref="Q616:Q622"/>
    <mergeCell ref="H623:H624"/>
    <mergeCell ref="G616:G622"/>
    <mergeCell ref="D616:D622"/>
    <mergeCell ref="G567:G569"/>
    <mergeCell ref="E570:E571"/>
    <mergeCell ref="C623:C624"/>
    <mergeCell ref="F653:F665"/>
    <mergeCell ref="F562:F564"/>
    <mergeCell ref="C690:C694"/>
    <mergeCell ref="C626:C628"/>
    <mergeCell ref="D614:D615"/>
    <mergeCell ref="Q570:Q571"/>
    <mergeCell ref="Q562:Q564"/>
    <mergeCell ref="D623:D624"/>
    <mergeCell ref="S576:S579"/>
    <mergeCell ref="D557:D558"/>
    <mergeCell ref="R614:R615"/>
    <mergeCell ref="S582:S584"/>
    <mergeCell ref="F616:F622"/>
    <mergeCell ref="U576:U579"/>
    <mergeCell ref="U570:U571"/>
    <mergeCell ref="G582:G584"/>
    <mergeCell ref="H582:H584"/>
    <mergeCell ref="S567:S569"/>
    <mergeCell ref="Q557:Q558"/>
    <mergeCell ref="E567:E569"/>
    <mergeCell ref="F567:F569"/>
    <mergeCell ref="U591:U595"/>
    <mergeCell ref="T557:T558"/>
    <mergeCell ref="U557:U558"/>
    <mergeCell ref="F614:F615"/>
    <mergeCell ref="G614:G615"/>
    <mergeCell ref="H614:H615"/>
    <mergeCell ref="T616:T622"/>
    <mergeCell ref="E614:E615"/>
    <mergeCell ref="D567:D569"/>
    <mergeCell ref="H562:H564"/>
    <mergeCell ref="F557:F558"/>
    <mergeCell ref="F576:F579"/>
    <mergeCell ref="G576:G579"/>
    <mergeCell ref="F570:F571"/>
    <mergeCell ref="H570:H571"/>
    <mergeCell ref="H576:H579"/>
    <mergeCell ref="U582:U584"/>
    <mergeCell ref="B616:B622"/>
    <mergeCell ref="A591:A595"/>
    <mergeCell ref="B591:B595"/>
    <mergeCell ref="A562:A564"/>
    <mergeCell ref="D419:D433"/>
    <mergeCell ref="C427:C430"/>
    <mergeCell ref="E427:E430"/>
    <mergeCell ref="B562:B564"/>
    <mergeCell ref="A576:A579"/>
    <mergeCell ref="A520:A523"/>
    <mergeCell ref="B531:B532"/>
    <mergeCell ref="C686:C689"/>
    <mergeCell ref="E686:E689"/>
    <mergeCell ref="D651:D699"/>
    <mergeCell ref="C666:C684"/>
    <mergeCell ref="D548:D553"/>
    <mergeCell ref="E548:E553"/>
    <mergeCell ref="A461:A467"/>
    <mergeCell ref="B461:B467"/>
    <mergeCell ref="A446:A448"/>
    <mergeCell ref="E582:E584"/>
    <mergeCell ref="A539:A544"/>
    <mergeCell ref="A515:A518"/>
    <mergeCell ref="C576:C579"/>
    <mergeCell ref="D576:D579"/>
    <mergeCell ref="E576:E579"/>
    <mergeCell ref="B520:B523"/>
    <mergeCell ref="B515:B518"/>
    <mergeCell ref="C515:C518"/>
    <mergeCell ref="C520:C523"/>
    <mergeCell ref="E623:E624"/>
    <mergeCell ref="E666:E684"/>
    <mergeCell ref="Q213:Q218"/>
    <mergeCell ref="Q201:Q209"/>
    <mergeCell ref="B320:B322"/>
    <mergeCell ref="R334:R337"/>
    <mergeCell ref="C320:C322"/>
    <mergeCell ref="F359:F363"/>
    <mergeCell ref="Q348:Q350"/>
    <mergeCell ref="F320:F322"/>
    <mergeCell ref="F323:F330"/>
    <mergeCell ref="S201:S209"/>
    <mergeCell ref="E320:E322"/>
    <mergeCell ref="H320:H322"/>
    <mergeCell ref="R348:R350"/>
    <mergeCell ref="H323:H330"/>
    <mergeCell ref="E201:E209"/>
    <mergeCell ref="C334:C337"/>
    <mergeCell ref="D188:D190"/>
    <mergeCell ref="C188:C190"/>
    <mergeCell ref="C348:C350"/>
    <mergeCell ref="B342:B344"/>
    <mergeCell ref="H359:H363"/>
    <mergeCell ref="E331:E333"/>
    <mergeCell ref="R220:R224"/>
    <mergeCell ref="G220:G224"/>
    <mergeCell ref="H220:H224"/>
    <mergeCell ref="H334:H337"/>
    <mergeCell ref="C342:C344"/>
    <mergeCell ref="F213:F218"/>
    <mergeCell ref="G213:G218"/>
    <mergeCell ref="D348:D350"/>
    <mergeCell ref="E359:E363"/>
    <mergeCell ref="F342:F344"/>
    <mergeCell ref="U695:U699"/>
    <mergeCell ref="U626:U630"/>
    <mergeCell ref="V131:V132"/>
    <mergeCell ref="H201:H209"/>
    <mergeCell ref="W320:W322"/>
    <mergeCell ref="W220:W224"/>
    <mergeCell ref="V320:V322"/>
    <mergeCell ref="Y213:Y218"/>
    <mergeCell ref="S548:S553"/>
    <mergeCell ref="S557:S558"/>
    <mergeCell ref="W427:W430"/>
    <mergeCell ref="Y131:Y132"/>
    <mergeCell ref="Y409:Y413"/>
    <mergeCell ref="V614:V615"/>
    <mergeCell ref="R616:R622"/>
    <mergeCell ref="U623:U624"/>
    <mergeCell ref="S591:S595"/>
    <mergeCell ref="Q567:Q569"/>
    <mergeCell ref="Y389:Y394"/>
    <mergeCell ref="Y548:Y553"/>
    <mergeCell ref="Y452:Y453"/>
    <mergeCell ref="W440:W442"/>
    <mergeCell ref="W695:W699"/>
    <mergeCell ref="Q446:Q448"/>
    <mergeCell ref="H666:H684"/>
    <mergeCell ref="V570:V571"/>
    <mergeCell ref="V623:V624"/>
    <mergeCell ref="R570:R571"/>
    <mergeCell ref="T331:T333"/>
    <mergeCell ref="W548:W553"/>
    <mergeCell ref="X531:X532"/>
    <mergeCell ref="Y651:Y699"/>
    <mergeCell ref="V690:V693"/>
    <mergeCell ref="Z398:Z399"/>
    <mergeCell ref="W409:W411"/>
    <mergeCell ref="V653:V665"/>
    <mergeCell ref="W653:W665"/>
    <mergeCell ref="Z651:Z699"/>
    <mergeCell ref="Y616:Y622"/>
    <mergeCell ref="W666:W684"/>
    <mergeCell ref="V686:V689"/>
    <mergeCell ref="Z614:Z615"/>
    <mergeCell ref="V562:V564"/>
    <mergeCell ref="V616:V622"/>
    <mergeCell ref="X557:X558"/>
    <mergeCell ref="Z389:Z394"/>
    <mergeCell ref="Z409:Z413"/>
    <mergeCell ref="X686:X689"/>
    <mergeCell ref="X695:X699"/>
    <mergeCell ref="V695:V699"/>
    <mergeCell ref="Z562:Z564"/>
    <mergeCell ref="W539:W544"/>
    <mergeCell ref="W520:W523"/>
    <mergeCell ref="Y614:Y615"/>
    <mergeCell ref="W591:W595"/>
    <mergeCell ref="W531:W532"/>
    <mergeCell ref="Z591:Z595"/>
    <mergeCell ref="V401:V403"/>
    <mergeCell ref="W419:W426"/>
    <mergeCell ref="X419:X426"/>
    <mergeCell ref="Y401:Y403"/>
    <mergeCell ref="Z576:Z579"/>
    <mergeCell ref="Y557:Y558"/>
    <mergeCell ref="Y562:Y564"/>
    <mergeCell ref="X401:X403"/>
    <mergeCell ref="Y531:Y532"/>
    <mergeCell ref="X666:X684"/>
    <mergeCell ref="Z616:Z622"/>
    <mergeCell ref="W626:W632"/>
    <mergeCell ref="X626:X632"/>
    <mergeCell ref="X653:X665"/>
    <mergeCell ref="V591:V595"/>
    <mergeCell ref="U616:U622"/>
    <mergeCell ref="T623:T624"/>
    <mergeCell ref="T626:T630"/>
    <mergeCell ref="S623:S624"/>
    <mergeCell ref="G666:G684"/>
    <mergeCell ref="U653:U665"/>
    <mergeCell ref="G539:G544"/>
    <mergeCell ref="Q419:Q433"/>
    <mergeCell ref="W557:W558"/>
    <mergeCell ref="W576:W579"/>
    <mergeCell ref="Y582:Y584"/>
    <mergeCell ref="V582:V584"/>
    <mergeCell ref="W582:W584"/>
    <mergeCell ref="S616:S622"/>
    <mergeCell ref="R623:R624"/>
    <mergeCell ref="T651:T699"/>
    <mergeCell ref="T401:T403"/>
    <mergeCell ref="Z515:Z518"/>
    <mergeCell ref="Z446:Z448"/>
    <mergeCell ref="Y446:Y448"/>
    <mergeCell ref="U690:U693"/>
    <mergeCell ref="R459:R460"/>
    <mergeCell ref="G452:G453"/>
    <mergeCell ref="G440:G442"/>
    <mergeCell ref="S63:S66"/>
    <mergeCell ref="D48:D49"/>
    <mergeCell ref="E48:E49"/>
    <mergeCell ref="F48:F49"/>
    <mergeCell ref="T48:T49"/>
    <mergeCell ref="U48:U49"/>
    <mergeCell ref="G63:G66"/>
    <mergeCell ref="G94:G97"/>
    <mergeCell ref="T63:T66"/>
    <mergeCell ref="R94:R97"/>
    <mergeCell ref="H78:H80"/>
    <mergeCell ref="Q78:Q80"/>
    <mergeCell ref="R78:R80"/>
    <mergeCell ref="T78:T80"/>
    <mergeCell ref="V81:V84"/>
    <mergeCell ref="S76:S77"/>
    <mergeCell ref="Q142:Q143"/>
    <mergeCell ref="H81:H84"/>
    <mergeCell ref="G81:G84"/>
    <mergeCell ref="D100:D111"/>
    <mergeCell ref="D128:D129"/>
    <mergeCell ref="H63:H66"/>
    <mergeCell ref="H128:H129"/>
    <mergeCell ref="G100:G111"/>
    <mergeCell ref="E112:E117"/>
    <mergeCell ref="R81:R84"/>
    <mergeCell ref="R112:R117"/>
    <mergeCell ref="Q94:Q97"/>
    <mergeCell ref="H131:H132"/>
    <mergeCell ref="R67:R70"/>
    <mergeCell ref="V67:V70"/>
    <mergeCell ref="S34:S36"/>
    <mergeCell ref="T34:T36"/>
    <mergeCell ref="U34:U36"/>
    <mergeCell ref="D34:D36"/>
    <mergeCell ref="E34:E36"/>
    <mergeCell ref="E29:E32"/>
    <mergeCell ref="F29:F32"/>
    <mergeCell ref="X208:X209"/>
    <mergeCell ref="R142:R143"/>
    <mergeCell ref="G150:G158"/>
    <mergeCell ref="H150:H158"/>
    <mergeCell ref="E131:E132"/>
    <mergeCell ref="E150:E158"/>
    <mergeCell ref="W42:W43"/>
    <mergeCell ref="F78:F80"/>
    <mergeCell ref="G78:G80"/>
    <mergeCell ref="T42:T43"/>
    <mergeCell ref="T29:T32"/>
    <mergeCell ref="R63:R66"/>
    <mergeCell ref="S100:S111"/>
    <mergeCell ref="Q112:Q117"/>
    <mergeCell ref="T71:T72"/>
    <mergeCell ref="Q29:Q32"/>
    <mergeCell ref="R29:R32"/>
    <mergeCell ref="U81:U84"/>
    <mergeCell ref="H94:H97"/>
    <mergeCell ref="V142:V143"/>
    <mergeCell ref="F100:F111"/>
    <mergeCell ref="R100:R111"/>
    <mergeCell ref="H76:H77"/>
    <mergeCell ref="H48:H49"/>
    <mergeCell ref="F201:F209"/>
    <mergeCell ref="Q100:Q111"/>
    <mergeCell ref="S342:S344"/>
    <mergeCell ref="Q323:Q330"/>
    <mergeCell ref="V331:V333"/>
    <mergeCell ref="Y440:Y442"/>
    <mergeCell ref="W331:W333"/>
    <mergeCell ref="U342:U344"/>
    <mergeCell ref="V359:V363"/>
    <mergeCell ref="R434:R435"/>
    <mergeCell ref="Q320:Q322"/>
    <mergeCell ref="T150:T158"/>
    <mergeCell ref="X188:X190"/>
    <mergeCell ref="Y188:Y190"/>
    <mergeCell ref="V245:V295"/>
    <mergeCell ref="W245:W295"/>
    <mergeCell ref="X245:X295"/>
    <mergeCell ref="Y245:Y295"/>
    <mergeCell ref="T398:T399"/>
    <mergeCell ref="V323:V330"/>
    <mergeCell ref="V239:V240"/>
    <mergeCell ref="Y220:Y224"/>
    <mergeCell ref="S334:S337"/>
    <mergeCell ref="T368:T370"/>
    <mergeCell ref="T419:T426"/>
    <mergeCell ref="T389:T394"/>
    <mergeCell ref="T188:T190"/>
    <mergeCell ref="U409:U413"/>
    <mergeCell ref="W398:W399"/>
    <mergeCell ref="X342:X344"/>
    <mergeCell ref="Q331:Q333"/>
    <mergeCell ref="Q334:Q337"/>
    <mergeCell ref="X368:X370"/>
    <mergeCell ref="U419:U433"/>
    <mergeCell ref="Z201:Z209"/>
    <mergeCell ref="X389:X394"/>
    <mergeCell ref="R446:R448"/>
    <mergeCell ref="T446:T448"/>
    <mergeCell ref="H213:H218"/>
    <mergeCell ref="R323:R330"/>
    <mergeCell ref="R419:R433"/>
    <mergeCell ref="R389:R394"/>
    <mergeCell ref="H389:H394"/>
    <mergeCell ref="V409:V411"/>
    <mergeCell ref="R342:R344"/>
    <mergeCell ref="R331:R333"/>
    <mergeCell ref="R359:R363"/>
    <mergeCell ref="H342:H344"/>
    <mergeCell ref="Y434:Y435"/>
    <mergeCell ref="V213:V218"/>
    <mergeCell ref="V434:V435"/>
    <mergeCell ref="W434:W435"/>
    <mergeCell ref="W389:W394"/>
    <mergeCell ref="X213:X218"/>
    <mergeCell ref="T412:T413"/>
    <mergeCell ref="U334:U337"/>
    <mergeCell ref="U220:U224"/>
    <mergeCell ref="V220:V224"/>
    <mergeCell ref="T320:T322"/>
    <mergeCell ref="Z440:Z442"/>
    <mergeCell ref="T348:T350"/>
    <mergeCell ref="Z401:Z403"/>
    <mergeCell ref="Z342:Z344"/>
    <mergeCell ref="Z245:Z295"/>
    <mergeCell ref="Z348:Z350"/>
    <mergeCell ref="S131:S132"/>
    <mergeCell ref="W201:W203"/>
    <mergeCell ref="W142:W143"/>
    <mergeCell ref="W112:W117"/>
    <mergeCell ref="W150:W158"/>
    <mergeCell ref="Z188:Z190"/>
    <mergeCell ref="U63:U66"/>
    <mergeCell ref="Y201:Y209"/>
    <mergeCell ref="Y48:Y49"/>
    <mergeCell ref="Y94:Y97"/>
    <mergeCell ref="V71:V72"/>
    <mergeCell ref="S112:S117"/>
    <mergeCell ref="W63:W66"/>
    <mergeCell ref="W94:W97"/>
    <mergeCell ref="X63:X66"/>
    <mergeCell ref="W128:W129"/>
    <mergeCell ref="W48:W49"/>
    <mergeCell ref="V94:V97"/>
    <mergeCell ref="U94:U97"/>
    <mergeCell ref="Y81:Y84"/>
    <mergeCell ref="W204:W207"/>
    <mergeCell ref="V201:V203"/>
    <mergeCell ref="T204:T207"/>
    <mergeCell ref="V204:V207"/>
    <mergeCell ref="V128:V129"/>
    <mergeCell ref="T112:T117"/>
    <mergeCell ref="U112:U117"/>
    <mergeCell ref="U201:U209"/>
    <mergeCell ref="X100:X111"/>
    <mergeCell ref="T131:T132"/>
    <mergeCell ref="Z150:Z158"/>
    <mergeCell ref="V100:V111"/>
    <mergeCell ref="S19:S26"/>
    <mergeCell ref="X34:X36"/>
    <mergeCell ref="W34:W36"/>
    <mergeCell ref="U128:U129"/>
    <mergeCell ref="G201:G209"/>
    <mergeCell ref="S323:S330"/>
    <mergeCell ref="B331:B333"/>
    <mergeCell ref="G348:G350"/>
    <mergeCell ref="E220:E224"/>
    <mergeCell ref="R320:R322"/>
    <mergeCell ref="B582:B584"/>
    <mergeCell ref="R409:R413"/>
    <mergeCell ref="S440:S442"/>
    <mergeCell ref="X434:X435"/>
    <mergeCell ref="S220:S224"/>
    <mergeCell ref="V427:V430"/>
    <mergeCell ref="X376:X379"/>
    <mergeCell ref="V63:V66"/>
    <mergeCell ref="W100:W111"/>
    <mergeCell ref="W40:W41"/>
    <mergeCell ref="T40:T41"/>
    <mergeCell ref="F42:F43"/>
    <mergeCell ref="Q131:Q132"/>
    <mergeCell ref="Q220:Q224"/>
    <mergeCell ref="R368:R370"/>
    <mergeCell ref="G520:G523"/>
    <mergeCell ref="D539:D544"/>
    <mergeCell ref="F520:F523"/>
    <mergeCell ref="E531:E532"/>
    <mergeCell ref="F515:F518"/>
    <mergeCell ref="W81:W84"/>
    <mergeCell ref="S128:S129"/>
    <mergeCell ref="B576:B579"/>
    <mergeCell ref="H520:H523"/>
    <mergeCell ref="E401:E403"/>
    <mergeCell ref="F348:F350"/>
    <mergeCell ref="F401:F403"/>
    <mergeCell ref="G401:G403"/>
    <mergeCell ref="H401:H403"/>
    <mergeCell ref="T220:T224"/>
    <mergeCell ref="U348:U350"/>
    <mergeCell ref="E323:E330"/>
    <mergeCell ref="V389:V394"/>
    <mergeCell ref="V419:V426"/>
    <mergeCell ref="V412:V413"/>
    <mergeCell ref="V342:V344"/>
    <mergeCell ref="T334:T337"/>
    <mergeCell ref="G128:G129"/>
    <mergeCell ref="V334:V337"/>
    <mergeCell ref="G323:G330"/>
    <mergeCell ref="D409:D413"/>
    <mergeCell ref="F531:F532"/>
    <mergeCell ref="E520:E523"/>
    <mergeCell ref="D520:D523"/>
    <mergeCell ref="C323:C330"/>
    <mergeCell ref="D323:D330"/>
    <mergeCell ref="D331:D333"/>
    <mergeCell ref="U562:U564"/>
    <mergeCell ref="T562:T564"/>
    <mergeCell ref="T567:T569"/>
    <mergeCell ref="V548:V553"/>
    <mergeCell ref="T507:T508"/>
    <mergeCell ref="T498:T504"/>
    <mergeCell ref="V446:V448"/>
    <mergeCell ref="A557:A558"/>
    <mergeCell ref="H567:H569"/>
    <mergeCell ref="G557:G558"/>
    <mergeCell ref="F539:F544"/>
    <mergeCell ref="H459:H460"/>
    <mergeCell ref="A537:A538"/>
    <mergeCell ref="B537:B538"/>
    <mergeCell ref="C537:C538"/>
    <mergeCell ref="D537:D538"/>
    <mergeCell ref="E537:E538"/>
    <mergeCell ref="F537:F538"/>
    <mergeCell ref="G537:G538"/>
    <mergeCell ref="H537:H538"/>
    <mergeCell ref="E389:E394"/>
    <mergeCell ref="A440:A442"/>
    <mergeCell ref="D389:D394"/>
    <mergeCell ref="F446:F448"/>
    <mergeCell ref="B419:B433"/>
    <mergeCell ref="E440:E442"/>
    <mergeCell ref="F507:F508"/>
    <mergeCell ref="G507:G508"/>
    <mergeCell ref="G459:G460"/>
    <mergeCell ref="A548:A553"/>
    <mergeCell ref="A498:A504"/>
    <mergeCell ref="B498:B504"/>
    <mergeCell ref="C498:C504"/>
    <mergeCell ref="D498:D504"/>
    <mergeCell ref="A567:A569"/>
    <mergeCell ref="C398:C399"/>
    <mergeCell ref="E515:E518"/>
    <mergeCell ref="D515:D518"/>
    <mergeCell ref="D446:D448"/>
    <mergeCell ref="AA695:AA699"/>
    <mergeCell ref="A469:A472"/>
    <mergeCell ref="B469:B472"/>
    <mergeCell ref="C469:C472"/>
    <mergeCell ref="D469:D472"/>
    <mergeCell ref="E469:E472"/>
    <mergeCell ref="F469:F472"/>
    <mergeCell ref="AA653:AA665"/>
    <mergeCell ref="H469:H472"/>
    <mergeCell ref="G469:G472"/>
    <mergeCell ref="Q469:Q472"/>
    <mergeCell ref="R469:R472"/>
    <mergeCell ref="S469:S472"/>
    <mergeCell ref="T469:T472"/>
    <mergeCell ref="U469:U472"/>
    <mergeCell ref="V469:V472"/>
    <mergeCell ref="W469:W472"/>
    <mergeCell ref="X469:X472"/>
    <mergeCell ref="Y469:Y472"/>
    <mergeCell ref="Z469:Z472"/>
    <mergeCell ref="AA469:AA472"/>
    <mergeCell ref="Z582:Z584"/>
    <mergeCell ref="Z539:Z544"/>
    <mergeCell ref="Z520:Z523"/>
    <mergeCell ref="Z557:Z558"/>
    <mergeCell ref="G531:G532"/>
    <mergeCell ref="AA539:AA544"/>
    <mergeCell ref="AA548:AA553"/>
    <mergeCell ref="AA557:AA558"/>
    <mergeCell ref="AA562:AA564"/>
    <mergeCell ref="AA570:AA571"/>
    <mergeCell ref="AA591:AA595"/>
    <mergeCell ref="Y537:Y538"/>
    <mergeCell ref="Z537:Z538"/>
    <mergeCell ref="V482:V491"/>
    <mergeCell ref="Z567:Z569"/>
    <mergeCell ref="W507:W508"/>
    <mergeCell ref="V567:V569"/>
    <mergeCell ref="W554:W555"/>
    <mergeCell ref="X554:X555"/>
    <mergeCell ref="X567:X569"/>
    <mergeCell ref="U567:U569"/>
    <mergeCell ref="W459:W460"/>
    <mergeCell ref="X562:X564"/>
    <mergeCell ref="X576:X579"/>
    <mergeCell ref="V531:V532"/>
    <mergeCell ref="V459:V460"/>
    <mergeCell ref="AA537:AA538"/>
    <mergeCell ref="AA520:AA523"/>
    <mergeCell ref="X498:X504"/>
    <mergeCell ref="Y515:Y518"/>
    <mergeCell ref="X515:X518"/>
    <mergeCell ref="X520:X523"/>
    <mergeCell ref="W515:W518"/>
    <mergeCell ref="X459:X460"/>
    <mergeCell ref="Z461:Z467"/>
    <mergeCell ref="Y520:Y523"/>
    <mergeCell ref="Y507:Y508"/>
    <mergeCell ref="W537:W538"/>
    <mergeCell ref="Z548:Z553"/>
    <mergeCell ref="Z507:Z508"/>
    <mergeCell ref="Y539:Y544"/>
    <mergeCell ref="Y576:Y579"/>
    <mergeCell ref="Y567:Y569"/>
    <mergeCell ref="V498:V504"/>
    <mergeCell ref="AA440:AA442"/>
    <mergeCell ref="V452:V453"/>
    <mergeCell ref="W452:W453"/>
    <mergeCell ref="X452:X453"/>
    <mergeCell ref="X446:X448"/>
    <mergeCell ref="X440:X442"/>
    <mergeCell ref="U498:U504"/>
    <mergeCell ref="AA446:AA448"/>
    <mergeCell ref="W498:W504"/>
    <mergeCell ref="T515:T518"/>
    <mergeCell ref="U515:U518"/>
    <mergeCell ref="X507:X508"/>
    <mergeCell ref="T531:T532"/>
    <mergeCell ref="T520:T523"/>
    <mergeCell ref="U520:U523"/>
    <mergeCell ref="V520:V523"/>
    <mergeCell ref="Z482:Z493"/>
    <mergeCell ref="W446:W448"/>
    <mergeCell ref="AA515:AA518"/>
    <mergeCell ref="W482:W491"/>
    <mergeCell ref="X482:X491"/>
    <mergeCell ref="Z452:Z453"/>
    <mergeCell ref="Y63:Y66"/>
    <mergeCell ref="Y71:Y72"/>
    <mergeCell ref="Y34:Y36"/>
    <mergeCell ref="AA348:AA350"/>
    <mergeCell ref="Y100:Y111"/>
    <mergeCell ref="Z359:Z363"/>
    <mergeCell ref="T213:T218"/>
    <mergeCell ref="AA389:AA394"/>
    <mergeCell ref="Y398:Y399"/>
    <mergeCell ref="V368:V370"/>
    <mergeCell ref="W368:W370"/>
    <mergeCell ref="U398:U399"/>
    <mergeCell ref="V398:V399"/>
    <mergeCell ref="U320:U322"/>
    <mergeCell ref="Z100:Z111"/>
    <mergeCell ref="T323:T330"/>
    <mergeCell ref="Z128:Z129"/>
    <mergeCell ref="V48:V49"/>
    <mergeCell ref="X334:X337"/>
    <mergeCell ref="AA245:AA295"/>
    <mergeCell ref="Z142:Z143"/>
    <mergeCell ref="V42:V43"/>
    <mergeCell ref="Z112:Z117"/>
    <mergeCell ref="Z320:Z322"/>
    <mergeCell ref="Y320:Y322"/>
    <mergeCell ref="Z368:Z370"/>
    <mergeCell ref="Y359:Y363"/>
    <mergeCell ref="Y368:Y370"/>
    <mergeCell ref="T342:T344"/>
    <mergeCell ref="T201:T203"/>
    <mergeCell ref="Z40:Z44"/>
    <mergeCell ref="AA40:AA44"/>
    <mergeCell ref="AA409:AA413"/>
    <mergeCell ref="Z434:Z435"/>
    <mergeCell ref="Z498:Z504"/>
    <mergeCell ref="X582:X584"/>
    <mergeCell ref="X537:X538"/>
    <mergeCell ref="Z78:Z80"/>
    <mergeCell ref="Y78:Y80"/>
    <mergeCell ref="Z213:Z218"/>
    <mergeCell ref="Y498:Y504"/>
    <mergeCell ref="AA461:AA467"/>
    <mergeCell ref="Y419:Y433"/>
    <mergeCell ref="Z331:Z333"/>
    <mergeCell ref="Z131:Z132"/>
    <mergeCell ref="Z220:Z224"/>
    <mergeCell ref="X220:X224"/>
    <mergeCell ref="Y142:Y143"/>
    <mergeCell ref="Z323:Z330"/>
    <mergeCell ref="X142:X143"/>
    <mergeCell ref="Y112:Y117"/>
    <mergeCell ref="AA452:AA453"/>
    <mergeCell ref="X128:X129"/>
    <mergeCell ref="Z334:Z337"/>
    <mergeCell ref="X81:X84"/>
    <mergeCell ref="X112:X117"/>
    <mergeCell ref="X201:X203"/>
    <mergeCell ref="X204:X207"/>
    <mergeCell ref="AA142:AA143"/>
    <mergeCell ref="AA359:AA363"/>
    <mergeCell ref="AA387:AA388"/>
    <mergeCell ref="X348:X350"/>
    <mergeCell ref="X359:X363"/>
    <mergeCell ref="X387:X388"/>
    <mergeCell ref="Z13:Z14"/>
    <mergeCell ref="X76:X77"/>
    <mergeCell ref="Z15:Z16"/>
    <mergeCell ref="AA213:AA218"/>
    <mergeCell ref="AA220:AA224"/>
    <mergeCell ref="AA331:AA333"/>
    <mergeCell ref="V17:V18"/>
    <mergeCell ref="Z17:Z18"/>
    <mergeCell ref="X13:X14"/>
    <mergeCell ref="X131:X132"/>
    <mergeCell ref="Z19:Z26"/>
    <mergeCell ref="X17:X18"/>
    <mergeCell ref="Y40:Y44"/>
    <mergeCell ref="X48:X49"/>
    <mergeCell ref="X15:X16"/>
    <mergeCell ref="U71:U72"/>
    <mergeCell ref="Y331:Y333"/>
    <mergeCell ref="Y19:Y26"/>
    <mergeCell ref="Y15:Y16"/>
    <mergeCell ref="X40:X41"/>
    <mergeCell ref="X42:X43"/>
    <mergeCell ref="X19:X26"/>
    <mergeCell ref="W213:W218"/>
    <mergeCell ref="AA13:AA14"/>
    <mergeCell ref="AA155:AA158"/>
    <mergeCell ref="AA153:AA154"/>
    <mergeCell ref="AA159:AA160"/>
    <mergeCell ref="AA201:AA203"/>
    <mergeCell ref="AA204:AA207"/>
    <mergeCell ref="X320:X322"/>
    <mergeCell ref="X323:X330"/>
    <mergeCell ref="X331:X333"/>
    <mergeCell ref="Z29:Z32"/>
    <mergeCell ref="Z76:Z77"/>
    <mergeCell ref="Z81:Z84"/>
    <mergeCell ref="Y29:Y32"/>
    <mergeCell ref="Y76:Y77"/>
    <mergeCell ref="V576:V579"/>
    <mergeCell ref="T576:T579"/>
    <mergeCell ref="T100:T111"/>
    <mergeCell ref="T19:T26"/>
    <mergeCell ref="T128:T129"/>
    <mergeCell ref="S71:S72"/>
    <mergeCell ref="S520:S523"/>
    <mergeCell ref="T461:T467"/>
    <mergeCell ref="S387:S388"/>
    <mergeCell ref="R461:R467"/>
    <mergeCell ref="V188:V190"/>
    <mergeCell ref="W188:W190"/>
    <mergeCell ref="W461:W467"/>
    <mergeCell ref="S461:S467"/>
    <mergeCell ref="R554:R555"/>
    <mergeCell ref="S554:S555"/>
    <mergeCell ref="U387:U388"/>
    <mergeCell ref="W387:W388"/>
    <mergeCell ref="W412:W413"/>
    <mergeCell ref="V515:V518"/>
    <mergeCell ref="V440:V442"/>
    <mergeCell ref="R557:R558"/>
    <mergeCell ref="W562:W564"/>
    <mergeCell ref="R576:R579"/>
    <mergeCell ref="R567:R569"/>
    <mergeCell ref="R539:R544"/>
    <mergeCell ref="R520:R523"/>
    <mergeCell ref="S531:S532"/>
    <mergeCell ref="S348:S350"/>
    <mergeCell ref="G515:G518"/>
    <mergeCell ref="H548:H553"/>
    <mergeCell ref="Q520:Q523"/>
    <mergeCell ref="Q582:Q584"/>
    <mergeCell ref="R582:R584"/>
    <mergeCell ref="B557:B558"/>
    <mergeCell ref="C557:C558"/>
    <mergeCell ref="U531:U532"/>
    <mergeCell ref="E557:E558"/>
    <mergeCell ref="C401:C403"/>
    <mergeCell ref="C434:C435"/>
    <mergeCell ref="D434:D435"/>
    <mergeCell ref="E434:E435"/>
    <mergeCell ref="C459:C460"/>
    <mergeCell ref="G419:G433"/>
    <mergeCell ref="F461:F467"/>
    <mergeCell ref="G461:G467"/>
    <mergeCell ref="C461:C467"/>
    <mergeCell ref="U548:U553"/>
    <mergeCell ref="T409:T411"/>
    <mergeCell ref="S446:S448"/>
    <mergeCell ref="S452:S453"/>
    <mergeCell ref="S419:S433"/>
    <mergeCell ref="R515:R518"/>
    <mergeCell ref="R440:R442"/>
    <mergeCell ref="R548:R553"/>
    <mergeCell ref="R531:R532"/>
    <mergeCell ref="S539:S544"/>
    <mergeCell ref="D461:D467"/>
    <mergeCell ref="S389:S394"/>
    <mergeCell ref="S498:S504"/>
    <mergeCell ref="H507:H508"/>
    <mergeCell ref="Q507:Q508"/>
    <mergeCell ref="H434:H435"/>
    <mergeCell ref="H440:H442"/>
    <mergeCell ref="Q434:Q435"/>
    <mergeCell ref="O387:O388"/>
    <mergeCell ref="Q409:Q413"/>
    <mergeCell ref="Q359:Q363"/>
    <mergeCell ref="G446:G448"/>
    <mergeCell ref="G342:G344"/>
    <mergeCell ref="G398:G399"/>
    <mergeCell ref="E409:E413"/>
    <mergeCell ref="Q452:Q453"/>
    <mergeCell ref="F498:F504"/>
    <mergeCell ref="G498:G504"/>
    <mergeCell ref="D401:D403"/>
    <mergeCell ref="E348:E350"/>
    <mergeCell ref="H398:H399"/>
    <mergeCell ref="Q398:Q399"/>
    <mergeCell ref="R398:R399"/>
    <mergeCell ref="H348:H350"/>
    <mergeCell ref="R401:R403"/>
    <mergeCell ref="E398:E399"/>
    <mergeCell ref="H446:H448"/>
    <mergeCell ref="Q440:Q442"/>
    <mergeCell ref="G368:G370"/>
    <mergeCell ref="H368:H370"/>
    <mergeCell ref="Q389:Q394"/>
    <mergeCell ref="G359:G363"/>
    <mergeCell ref="F387:F388"/>
    <mergeCell ref="E446:E448"/>
    <mergeCell ref="G296:G313"/>
    <mergeCell ref="H296:H313"/>
    <mergeCell ref="Q296:Q313"/>
    <mergeCell ref="R296:R313"/>
    <mergeCell ref="S296:S313"/>
    <mergeCell ref="T296:T313"/>
    <mergeCell ref="U296:U313"/>
    <mergeCell ref="Y296:Y313"/>
    <mergeCell ref="Z296:Z313"/>
    <mergeCell ref="C300:C313"/>
    <mergeCell ref="U389:U394"/>
    <mergeCell ref="Q401:Q403"/>
    <mergeCell ref="Q459:Q460"/>
    <mergeCell ref="D440:D442"/>
    <mergeCell ref="X398:X399"/>
    <mergeCell ref="X412:X413"/>
    <mergeCell ref="X409:X411"/>
    <mergeCell ref="W359:W363"/>
    <mergeCell ref="X427:X430"/>
    <mergeCell ref="W334:W337"/>
    <mergeCell ref="W401:W403"/>
    <mergeCell ref="W323:W330"/>
    <mergeCell ref="U323:U330"/>
    <mergeCell ref="U331:U333"/>
    <mergeCell ref="Y380:Y382"/>
    <mergeCell ref="G376:G379"/>
    <mergeCell ref="H376:H379"/>
    <mergeCell ref="Q376:Q379"/>
    <mergeCell ref="R376:R379"/>
    <mergeCell ref="T452:T453"/>
    <mergeCell ref="U452:U453"/>
    <mergeCell ref="U440:U442"/>
    <mergeCell ref="C245:C295"/>
    <mergeCell ref="D245:D295"/>
    <mergeCell ref="E245:E295"/>
    <mergeCell ref="F245:F295"/>
    <mergeCell ref="G245:G295"/>
    <mergeCell ref="H245:H295"/>
    <mergeCell ref="Q245:Q295"/>
    <mergeCell ref="R245:R295"/>
    <mergeCell ref="S245:S295"/>
    <mergeCell ref="T245:T295"/>
    <mergeCell ref="U245:U295"/>
    <mergeCell ref="R387:R388"/>
    <mergeCell ref="Y348:Y350"/>
    <mergeCell ref="H387:H388"/>
    <mergeCell ref="A482:A493"/>
    <mergeCell ref="B482:B493"/>
    <mergeCell ref="C482:C493"/>
    <mergeCell ref="D482:D493"/>
    <mergeCell ref="E482:E493"/>
    <mergeCell ref="F482:F493"/>
    <mergeCell ref="G482:G493"/>
    <mergeCell ref="H482:H493"/>
    <mergeCell ref="Q482:Q493"/>
    <mergeCell ref="R482:R493"/>
    <mergeCell ref="S482:S493"/>
    <mergeCell ref="T482:T493"/>
    <mergeCell ref="Y482:Y493"/>
    <mergeCell ref="R452:R453"/>
    <mergeCell ref="Q387:Q388"/>
    <mergeCell ref="Q368:Q370"/>
    <mergeCell ref="A296:A313"/>
    <mergeCell ref="B296:B313"/>
    <mergeCell ref="Q537:Q538"/>
    <mergeCell ref="R537:R538"/>
    <mergeCell ref="S537:S538"/>
    <mergeCell ref="T537:T538"/>
    <mergeCell ref="U537:U538"/>
    <mergeCell ref="V537:V538"/>
    <mergeCell ref="U482:U491"/>
    <mergeCell ref="H531:H532"/>
    <mergeCell ref="R507:R508"/>
    <mergeCell ref="H498:H504"/>
    <mergeCell ref="A626:A633"/>
    <mergeCell ref="B626:B633"/>
    <mergeCell ref="D626:D633"/>
    <mergeCell ref="E626:E633"/>
    <mergeCell ref="F626:F633"/>
    <mergeCell ref="G626:G633"/>
    <mergeCell ref="H626:H633"/>
    <mergeCell ref="Q626:Q633"/>
    <mergeCell ref="R626:R633"/>
    <mergeCell ref="S626:S633"/>
    <mergeCell ref="T548:T553"/>
    <mergeCell ref="V557:V558"/>
    <mergeCell ref="B539:B544"/>
    <mergeCell ref="C539:C544"/>
    <mergeCell ref="G548:G553"/>
    <mergeCell ref="E539:E544"/>
    <mergeCell ref="A616:A622"/>
    <mergeCell ref="A570:A571"/>
    <mergeCell ref="A582:A584"/>
    <mergeCell ref="A623:A624"/>
    <mergeCell ref="C616:C622"/>
    <mergeCell ref="B623:B624"/>
    <mergeCell ref="Y626:Y633"/>
    <mergeCell ref="Z626:Z633"/>
    <mergeCell ref="A700:A710"/>
    <mergeCell ref="B700:B710"/>
    <mergeCell ref="C700:C710"/>
    <mergeCell ref="D700:D710"/>
    <mergeCell ref="E700:E710"/>
    <mergeCell ref="F700:F710"/>
    <mergeCell ref="G700:G710"/>
    <mergeCell ref="H700:H710"/>
    <mergeCell ref="Q700:Q710"/>
    <mergeCell ref="R700:R710"/>
    <mergeCell ref="S700:S710"/>
    <mergeCell ref="T700:T710"/>
    <mergeCell ref="U700:U710"/>
    <mergeCell ref="V700:V710"/>
    <mergeCell ref="Y700:Y710"/>
    <mergeCell ref="Z700:Z710"/>
    <mergeCell ref="V626:V630"/>
    <mergeCell ref="S651:S699"/>
    <mergeCell ref="C695:C699"/>
    <mergeCell ref="E695:E699"/>
    <mergeCell ref="A651:A699"/>
    <mergeCell ref="B651:B699"/>
    <mergeCell ref="C653:C665"/>
    <mergeCell ref="G653:G665"/>
    <mergeCell ref="H653:H665"/>
    <mergeCell ref="Q651:Q699"/>
    <mergeCell ref="W686:W689"/>
    <mergeCell ref="U666:U684"/>
    <mergeCell ref="V666:V684"/>
    <mergeCell ref="U686:U689"/>
    <mergeCell ref="C712:C722"/>
    <mergeCell ref="E712:E722"/>
    <mergeCell ref="F712:F722"/>
    <mergeCell ref="G712:G722"/>
    <mergeCell ref="H712:H722"/>
    <mergeCell ref="T712:T722"/>
    <mergeCell ref="U712:U722"/>
    <mergeCell ref="V712:V722"/>
    <mergeCell ref="Y712:Y722"/>
    <mergeCell ref="Z712:Z722"/>
    <mergeCell ref="W713:W722"/>
    <mergeCell ref="C723:C728"/>
    <mergeCell ref="E723:E728"/>
    <mergeCell ref="F723:F728"/>
    <mergeCell ref="G723:G728"/>
    <mergeCell ref="H723:H728"/>
    <mergeCell ref="T723:T728"/>
    <mergeCell ref="U723:U728"/>
    <mergeCell ref="V723:V728"/>
    <mergeCell ref="W723:W728"/>
    <mergeCell ref="Y723:Y728"/>
    <mergeCell ref="Z723:Z728"/>
    <mergeCell ref="AB723:AB728"/>
    <mergeCell ref="C729:C735"/>
    <mergeCell ref="E729:E735"/>
    <mergeCell ref="F729:F735"/>
    <mergeCell ref="G729:G735"/>
    <mergeCell ref="H729:H735"/>
    <mergeCell ref="T729:T735"/>
    <mergeCell ref="U729:U735"/>
    <mergeCell ref="V729:V735"/>
    <mergeCell ref="W729:W735"/>
    <mergeCell ref="X729:X735"/>
    <mergeCell ref="Y729:Y735"/>
    <mergeCell ref="Z729:Z735"/>
    <mergeCell ref="C737:C751"/>
    <mergeCell ref="D737:D751"/>
    <mergeCell ref="E737:E751"/>
    <mergeCell ref="F737:F751"/>
    <mergeCell ref="G737:G751"/>
    <mergeCell ref="H737:H751"/>
    <mergeCell ref="T737:T751"/>
    <mergeCell ref="U737:U751"/>
    <mergeCell ref="V737:V751"/>
    <mergeCell ref="W737:W751"/>
    <mergeCell ref="X737:X751"/>
    <mergeCell ref="Y737:Y751"/>
    <mergeCell ref="Z759:Z764"/>
    <mergeCell ref="AA759:AA764"/>
    <mergeCell ref="Z737:Z751"/>
    <mergeCell ref="C752:C755"/>
    <mergeCell ref="D752:D755"/>
    <mergeCell ref="E752:E755"/>
    <mergeCell ref="F752:F755"/>
    <mergeCell ref="G752:G755"/>
    <mergeCell ref="H752:H755"/>
    <mergeCell ref="T752:T755"/>
    <mergeCell ref="U752:U755"/>
    <mergeCell ref="V752:V755"/>
    <mergeCell ref="W752:W755"/>
    <mergeCell ref="X752:X755"/>
    <mergeCell ref="Y752:Y755"/>
    <mergeCell ref="Z752:Z755"/>
    <mergeCell ref="AA752:AA755"/>
    <mergeCell ref="Z756:Z758"/>
    <mergeCell ref="AA756:AA758"/>
    <mergeCell ref="Y756:Y758"/>
    <mergeCell ref="A759:A764"/>
    <mergeCell ref="B759:B764"/>
    <mergeCell ref="C759:C764"/>
    <mergeCell ref="D759:D764"/>
    <mergeCell ref="E759:E764"/>
    <mergeCell ref="F759:F764"/>
    <mergeCell ref="G759:G764"/>
    <mergeCell ref="H759:H764"/>
    <mergeCell ref="Q759:Q764"/>
    <mergeCell ref="R759:R764"/>
    <mergeCell ref="S759:S764"/>
    <mergeCell ref="T759:T764"/>
    <mergeCell ref="U759:U764"/>
    <mergeCell ref="V759:V764"/>
    <mergeCell ref="W759:W764"/>
    <mergeCell ref="X759:X764"/>
    <mergeCell ref="Y759:Y764"/>
  </mergeCells>
  <phoneticPr fontId="8" type="noConversion"/>
  <hyperlinks>
    <hyperlink ref="U219" r:id="rId1" xr:uid="{00000000-0004-0000-0200-000000000000}"/>
    <hyperlink ref="U383" r:id="rId2" xr:uid="{00000000-0004-0000-0200-000001000000}"/>
    <hyperlink ref="U418" r:id="rId3" xr:uid="{00000000-0004-0000-0200-000002000000}"/>
    <hyperlink ref="U386" r:id="rId4" xr:uid="{00000000-0004-0000-0200-000003000000}"/>
    <hyperlink ref="U397" r:id="rId5" xr:uid="{00000000-0004-0000-0200-000004000000}"/>
    <hyperlink ref="V214:V218" r:id="rId6" display="https://www.lefigaro.fr/flash-actu/la-france-a-envoye-33-tonnes-d-aide-humanitaire-pour-l-ukraine-20220228" xr:uid="{00000000-0004-0000-0200-000005000000}"/>
    <hyperlink ref="V418" r:id="rId7" xr:uid="{00000000-0004-0000-0200-000006000000}"/>
    <hyperlink ref="U37" r:id="rId8" xr:uid="{00000000-0004-0000-0200-000007000000}"/>
    <hyperlink ref="U144" r:id="rId9" xr:uid="{00000000-0004-0000-0200-000008000000}"/>
    <hyperlink ref="U145" r:id="rId10" xr:uid="{00000000-0004-0000-0200-000009000000}"/>
    <hyperlink ref="U146" r:id="rId11" xr:uid="{00000000-0004-0000-0200-00000A000000}"/>
    <hyperlink ref="U89" r:id="rId12" xr:uid="{00000000-0004-0000-0200-00000B000000}"/>
    <hyperlink ref="U93" r:id="rId13" xr:uid="{00000000-0004-0000-0200-00000C000000}"/>
    <hyperlink ref="U366" r:id="rId14" display="https://www.politico.com/news/2022/03/22/ukraine-weapons-military-aid-00019104?msclkid=cf80c503ab8311eca021beb4b2336415" xr:uid="{00000000-0004-0000-0200-00000D000000}"/>
    <hyperlink ref="U371" r:id="rId15" xr:uid="{00000000-0004-0000-0200-00000E000000}"/>
    <hyperlink ref="U334" r:id="rId16" xr:uid="{00000000-0004-0000-0200-00000F000000}"/>
    <hyperlink ref="U331" r:id="rId17" xr:uid="{00000000-0004-0000-0200-000010000000}"/>
    <hyperlink ref="U338" r:id="rId18" xr:uid="{00000000-0004-0000-0200-000011000000}"/>
    <hyperlink ref="V386" r:id="rId19" xr:uid="{00000000-0004-0000-0200-000012000000}"/>
    <hyperlink ref="U45" r:id="rId20" xr:uid="{00000000-0004-0000-0200-000013000000}"/>
    <hyperlink ref="U148" r:id="rId21" xr:uid="{00000000-0004-0000-0200-000014000000}"/>
    <hyperlink ref="U147" r:id="rId22" xr:uid="{00000000-0004-0000-0200-000015000000}"/>
    <hyperlink ref="U347" r:id="rId23" xr:uid="{00000000-0004-0000-0200-000016000000}"/>
    <hyperlink ref="U348" r:id="rId24" xr:uid="{00000000-0004-0000-0200-000017000000}"/>
    <hyperlink ref="U358" r:id="rId25" xr:uid="{00000000-0004-0000-0200-000018000000}"/>
    <hyperlink ref="U438" r:id="rId26" location=":~:text=Humanitarian%20aid%20for%20Ukraine%20The%20Netherlands%20is%20supporting,available%20for%20victims%20of%20the%20war%20in%20Ukraine.?msclkid=75995df0b05d11eca834a0801d91bf9b" xr:uid="{00000000-0004-0000-0200-000019000000}"/>
    <hyperlink ref="U214:U218" r:id="rId27" display="https://www.diplomatie.gouv.fr/en/country-files/ukraine/news/article/ukraine-france-mobilizes-to-deliver-emergency-medical-aid-to-victims-of-the" xr:uid="{00000000-0004-0000-0200-00001A000000}"/>
    <hyperlink ref="U366" r:id="rId28" xr:uid="{00000000-0004-0000-0200-00001B000000}"/>
    <hyperlink ref="V366" r:id="rId29" xr:uid="{00000000-0004-0000-0200-00001C000000}"/>
    <hyperlink ref="W366" r:id="rId30" xr:uid="{00000000-0004-0000-0200-00001D000000}"/>
    <hyperlink ref="W386" r:id="rId31" xr:uid="{00000000-0004-0000-0200-00001E000000}"/>
    <hyperlink ref="V371" r:id="rId32" xr:uid="{00000000-0004-0000-0200-00001F000000}"/>
    <hyperlink ref="V45" r:id="rId33" xr:uid="{00000000-0004-0000-0200-000020000000}"/>
    <hyperlink ref="V438" r:id="rId34" xr:uid="{00000000-0004-0000-0200-000021000000}"/>
    <hyperlink ref="V347" r:id="rId35" xr:uid="{00000000-0004-0000-0200-000022000000}"/>
    <hyperlink ref="V331:V333" r:id="rId36" display="https://www.karpatinfo.net/2022/2/27/szijjarto-magyarorszag-szerepet-vallal-humanitarius-katasztrofa-enyhiteseben-200055995" xr:uid="{00000000-0004-0000-0200-000023000000}"/>
    <hyperlink ref="V334:V337" r:id="rId37" display="https://dailynewshungary.com/hungary-to-send-shipment-of-medical-equipment-to-ukraine/" xr:uid="{00000000-0004-0000-0200-000024000000}"/>
    <hyperlink ref="V348:V350" r:id="rId38" display="https://www.irishtimes.com/news/health/thousands-of-blood-bags-and-protective-suits-among-irish-aid-sent-to-ukraine-1.4824403" xr:uid="{00000000-0004-0000-0200-000025000000}"/>
    <hyperlink ref="V338" r:id="rId39" xr:uid="{00000000-0004-0000-0200-000026000000}"/>
    <hyperlink ref="V89" r:id="rId40" xr:uid="{00000000-0004-0000-0200-000027000000}"/>
    <hyperlink ref="W89" r:id="rId41" xr:uid="{00000000-0004-0000-0200-000028000000}"/>
    <hyperlink ref="V93" r:id="rId42" xr:uid="{00000000-0004-0000-0200-000029000000}"/>
    <hyperlink ref="W93" r:id="rId43" xr:uid="{00000000-0004-0000-0200-00002A000000}"/>
    <hyperlink ref="W214:W218" r:id="rId44" display="https://www.reuters.com/world/europe/france-offer-100-mln-euros-humanitarian-aid-ukraine-2022-03-01/" xr:uid="{00000000-0004-0000-0200-00002B000000}"/>
    <hyperlink ref="V383" r:id="rId45" xr:uid="{00000000-0004-0000-0200-00002C000000}"/>
    <hyperlink ref="U440:U442" r:id="rId46" display="https://netherlandsnewslive.com/the-netherlands-supplies-medicines-and-medical-supplies-to-ukraine/373516/" xr:uid="{00000000-0004-0000-0200-00002D000000}"/>
    <hyperlink ref="U439" r:id="rId47" location=":~:text=Humanitarian%20aid%20for%20Ukraine%20The%20Netherlands%20is%20supporting,available%20for%20victims%20of%20the%20war%20in%20Ukraine.?msclkid=75995df0b05d11eca834a0801d91bf9b" xr:uid="{00000000-0004-0000-0200-00002E000000}"/>
    <hyperlink ref="W136" r:id="rId48" xr:uid="{00000000-0004-0000-0200-00002F000000}"/>
    <hyperlink ref="V136" r:id="rId49" xr:uid="{00000000-0004-0000-0200-000030000000}"/>
    <hyperlink ref="U136" r:id="rId50" xr:uid="{00000000-0004-0000-0200-000031000000}"/>
    <hyperlink ref="U137" r:id="rId51" xr:uid="{00000000-0004-0000-0200-000032000000}"/>
    <hyperlink ref="U138" r:id="rId52" xr:uid="{00000000-0004-0000-0200-000033000000}"/>
    <hyperlink ref="V42:V43" r:id="rId53" display="https://twitter.com/alexanderdecroo/status/1497914776063594502" xr:uid="{00000000-0004-0000-0200-000034000000}"/>
    <hyperlink ref="V40:V41" r:id="rId54" display="https://twitter.com/alexanderdecroo/status/1497542000228417537" xr:uid="{00000000-0004-0000-0200-000035000000}"/>
    <hyperlink ref="W383" r:id="rId55" xr:uid="{00000000-0004-0000-0200-000036000000}"/>
    <hyperlink ref="V409" r:id="rId56" xr:uid="{00000000-0004-0000-0200-000037000000}"/>
    <hyperlink ref="W409" r:id="rId57" xr:uid="{00000000-0004-0000-0200-000038000000}"/>
    <hyperlink ref="U340" r:id="rId58" xr:uid="{00000000-0004-0000-0200-00003A000000}"/>
    <hyperlink ref="U346" r:id="rId59" location=":~:text=The%20Irish%20government%20is%20to%20provide%20%E2%82%AC10%20million,to%20coordinate%20a%20response%20to%20the%20Russian%20invasion." display="https://www.irishtimes.com/news/ireland/irish-news/irish-government-provides-10-million-in-humanitarian-support-for-ukraine-1.4810982#:~:text=The%20Irish%20government%20is%20to%20provide%20%E2%82%AC10%20million,to%20coordinate%20a%20response%20to%20the%20Russian%20invasion." xr:uid="{00000000-0004-0000-0200-00003B000000}"/>
    <hyperlink ref="U351" r:id="rId60" xr:uid="{00000000-0004-0000-0200-00003C000000}"/>
    <hyperlink ref="U352" r:id="rId61" xr:uid="{00000000-0004-0000-0200-00003D000000}"/>
    <hyperlink ref="U353" r:id="rId62" xr:uid="{00000000-0004-0000-0200-00003E000000}"/>
    <hyperlink ref="U376" r:id="rId63" xr:uid="{00000000-0004-0000-0200-00003F000000}"/>
    <hyperlink ref="W376" r:id="rId64" xr:uid="{00000000-0004-0000-0200-000040000000}"/>
    <hyperlink ref="U380" r:id="rId65" xr:uid="{00000000-0004-0000-0200-000041000000}"/>
    <hyperlink ref="V376" r:id="rId66" xr:uid="{00000000-0004-0000-0200-000042000000}"/>
    <hyperlink ref="U387" r:id="rId67" xr:uid="{00000000-0004-0000-0200-000043000000}"/>
    <hyperlink ref="U398" r:id="rId68" xr:uid="{00000000-0004-0000-0200-000044000000}"/>
    <hyperlink ref="V398" r:id="rId69" xr:uid="{00000000-0004-0000-0200-000045000000}"/>
    <hyperlink ref="U405" r:id="rId70" xr:uid="{00000000-0004-0000-0200-000046000000}"/>
    <hyperlink ref="U406" r:id="rId71" xr:uid="{00000000-0004-0000-0200-000047000000}"/>
    <hyperlink ref="U404" r:id="rId72" xr:uid="{00000000-0004-0000-0200-000048000000}"/>
    <hyperlink ref="V412" r:id="rId73" xr:uid="{00000000-0004-0000-0200-000049000000}"/>
    <hyperlink ref="U417" r:id="rId74" xr:uid="{00000000-0004-0000-0200-00004A000000}"/>
    <hyperlink ref="V417" r:id="rId75" location=".YmFaPo_P2Uk" xr:uid="{00000000-0004-0000-0200-00004B000000}"/>
    <hyperlink ref="U19" r:id="rId76" location=":~:text=Mit%20der%20bereits%20zweiten%20Hilfslieferung,Plastikhandschuhen%2C%20Schutzbrillen%20und%20Desinfektionsmittel%20entsandt." xr:uid="{00000000-0004-0000-0200-000051000000}"/>
    <hyperlink ref="U38" r:id="rId77" xr:uid="{00000000-0004-0000-0200-000052000000}"/>
    <hyperlink ref="V38" r:id="rId78" xr:uid="{00000000-0004-0000-0200-000053000000}"/>
    <hyperlink ref="U55" r:id="rId79" xr:uid="{00000000-0004-0000-0200-000054000000}"/>
    <hyperlink ref="U63" r:id="rId80" xr:uid="{00000000-0004-0000-0200-000055000000}"/>
    <hyperlink ref="V67" r:id="rId81" xr:uid="{00000000-0004-0000-0200-000056000000}"/>
    <hyperlink ref="U74" r:id="rId82" xr:uid="{00000000-0004-0000-0200-000057000000}"/>
    <hyperlink ref="V74" r:id="rId83" xr:uid="{00000000-0004-0000-0200-000058000000}"/>
    <hyperlink ref="V55" r:id="rId84" xr:uid="{00000000-0004-0000-0200-000059000000}"/>
    <hyperlink ref="U56" r:id="rId85" xr:uid="{00000000-0004-0000-0200-00005A000000}"/>
    <hyperlink ref="V51" r:id="rId86" xr:uid="{00000000-0004-0000-0200-00005B000000}"/>
    <hyperlink ref="U51" r:id="rId87" xr:uid="{00000000-0004-0000-0200-00005C000000}"/>
    <hyperlink ref="U54" r:id="rId88" xr:uid="{00000000-0004-0000-0200-00005D000000}"/>
    <hyperlink ref="U61" r:id="rId89" xr:uid="{00000000-0004-0000-0200-00005E000000}"/>
    <hyperlink ref="U62" r:id="rId90" xr:uid="{00000000-0004-0000-0200-00005F000000}"/>
    <hyperlink ref="U50" r:id="rId91" xr:uid="{00000000-0004-0000-0200-000060000000}"/>
    <hyperlink ref="W51" r:id="rId92" location=":~:text=The%20federal%20government%20is%20proposing%20to%20assist%20Ukraine%E2%80%99s,loan%20through%20a%20new%20Canada-led%20international%20financial%20program" display="https://www.theglobeandmail.com/canada/article-federal-budget-2022-ukraine-russia-1-billion-loan/#:~:text=The%20federal%20government%20is%20proposing%20to%20assist%20Ukraine%E2%80%99s,loan%20through%20a%20new%20Canada-led%20international%20financial%20program." xr:uid="{00000000-0004-0000-0200-000061000000}"/>
    <hyperlink ref="V61" r:id="rId93" xr:uid="{00000000-0004-0000-0200-000062000000}"/>
    <hyperlink ref="U73" r:id="rId94" xr:uid="{00000000-0004-0000-0200-000063000000}"/>
    <hyperlink ref="U71" r:id="rId95" xr:uid="{00000000-0004-0000-0200-000064000000}"/>
    <hyperlink ref="U67" r:id="rId96" xr:uid="{00000000-0004-0000-0200-000065000000}"/>
    <hyperlink ref="U94" r:id="rId97" xr:uid="{00000000-0004-0000-0200-000066000000}"/>
    <hyperlink ref="V94" r:id="rId98" xr:uid="{00000000-0004-0000-0200-000067000000}"/>
    <hyperlink ref="U112" r:id="rId99" xr:uid="{00000000-0004-0000-0200-000068000000}"/>
    <hyperlink ref="U118" r:id="rId100" xr:uid="{00000000-0004-0000-0200-000069000000}"/>
    <hyperlink ref="V112" r:id="rId101" xr:uid="{00000000-0004-0000-0200-00006A000000}"/>
    <hyperlink ref="V118" r:id="rId102" xr:uid="{00000000-0004-0000-0200-00006B000000}"/>
    <hyperlink ref="U119" r:id="rId103" xr:uid="{00000000-0004-0000-0200-00006C000000}"/>
    <hyperlink ref="V119" r:id="rId104" xr:uid="{00000000-0004-0000-0200-00006D000000}"/>
    <hyperlink ref="U100" r:id="rId105" xr:uid="{00000000-0004-0000-0200-00006E000000}"/>
    <hyperlink ref="U120" r:id="rId106" xr:uid="{00000000-0004-0000-0200-00006F000000}"/>
    <hyperlink ref="U122" r:id="rId107" xr:uid="{00000000-0004-0000-0200-000070000000}"/>
    <hyperlink ref="U121" r:id="rId108" xr:uid="{00000000-0004-0000-0200-000071000000}"/>
    <hyperlink ref="U123" r:id="rId109" xr:uid="{00000000-0004-0000-0200-000072000000}"/>
    <hyperlink ref="U124" r:id="rId110" xr:uid="{00000000-0004-0000-0200-000073000000}"/>
    <hyperlink ref="U125" r:id="rId111" xr:uid="{00000000-0004-0000-0200-000074000000}"/>
    <hyperlink ref="V125" r:id="rId112" xr:uid="{00000000-0004-0000-0200-000075000000}"/>
    <hyperlink ref="U100:U111" r:id="rId113" display="https://www.vlada.cz/cz/media-centrum/aktualne/vlada-schvalila-dalsi-dar-v-podobe-vojenskeho-materialu-ukrajine-194585/" xr:uid="{00000000-0004-0000-0200-000076000000}"/>
    <hyperlink ref="V123" r:id="rId114" xr:uid="{00000000-0004-0000-0200-000077000000}"/>
    <hyperlink ref="W119" r:id="rId115" xr:uid="{00000000-0004-0000-0200-000078000000}"/>
    <hyperlink ref="U126" r:id="rId116" xr:uid="{00000000-0004-0000-0200-000079000000}"/>
    <hyperlink ref="W112" r:id="rId117" xr:uid="{00000000-0004-0000-0200-00007B000000}"/>
    <hyperlink ref="V99" r:id="rId118" xr:uid="{00000000-0004-0000-0200-00007C000000}"/>
    <hyperlink ref="U99" r:id="rId119" xr:uid="{00000000-0004-0000-0200-00007D000000}"/>
    <hyperlink ref="U527" r:id="rId120" xr:uid="{00000000-0004-0000-0200-00007E000000}"/>
    <hyperlink ref="U534" r:id="rId121" xr:uid="{00000000-0004-0000-0200-00007F000000}"/>
    <hyperlink ref="U531" r:id="rId122" xr:uid="{00000000-0004-0000-0200-000080000000}"/>
    <hyperlink ref="U533" r:id="rId123" xr:uid="{00000000-0004-0000-0200-000081000000}"/>
    <hyperlink ref="V531" r:id="rId124" xr:uid="{00000000-0004-0000-0200-000082000000}"/>
    <hyperlink ref="W531" r:id="rId125" xr:uid="{00000000-0004-0000-0200-000083000000}"/>
    <hyperlink ref="U643" r:id="rId126" xr:uid="{00000000-0004-0000-0200-000086000000}"/>
    <hyperlink ref="V643" r:id="rId127" xr:uid="{00000000-0004-0000-0200-000087000000}"/>
    <hyperlink ref="W643" r:id="rId128" xr:uid="{00000000-0004-0000-0200-000088000000}"/>
    <hyperlink ref="U613" r:id="rId129" xr:uid="{00000000-0004-0000-0200-000089000000}"/>
    <hyperlink ref="U494" r:id="rId130" xr:uid="{00000000-0004-0000-0200-00008A000000}"/>
    <hyperlink ref="V533" r:id="rId131" xr:uid="{00000000-0004-0000-0200-00008B000000}"/>
    <hyperlink ref="U562:U564" r:id="rId132" display="https://www.reuters.com/world/europe/spain-send-grenade-launchers-machine-guns-ukraine-minister-says-2022-03-02/" xr:uid="{00000000-0004-0000-0200-00008C000000}"/>
    <hyperlink ref="W494" r:id="rId133" xr:uid="{00000000-0004-0000-0200-00008D000000}"/>
    <hyperlink ref="V494" r:id="rId134" xr:uid="{00000000-0004-0000-0200-00008E000000}"/>
    <hyperlink ref="U546" r:id="rId135" xr:uid="{00000000-0004-0000-0200-00008F000000}"/>
    <hyperlink ref="V527" r:id="rId136" xr:uid="{00000000-0004-0000-0200-000090000000}"/>
    <hyperlink ref="W527" r:id="rId137" xr:uid="{00000000-0004-0000-0200-000091000000}"/>
    <hyperlink ref="V546" r:id="rId138" xr:uid="{00000000-0004-0000-0200-000092000000}"/>
    <hyperlink ref="V562" r:id="rId139" xr:uid="{00000000-0004-0000-0200-000094000000}"/>
    <hyperlink ref="V645" r:id="rId140" xr:uid="{00000000-0004-0000-0200-000095000000}"/>
    <hyperlink ref="U638" r:id="rId141" xr:uid="{00000000-0004-0000-0200-000096000000}"/>
    <hyperlink ref="V638" r:id="rId142" xr:uid="{00000000-0004-0000-0200-000097000000}"/>
    <hyperlink ref="W638" r:id="rId143" xr:uid="{00000000-0004-0000-0200-000098000000}"/>
    <hyperlink ref="V613" r:id="rId144" xr:uid="{00000000-0004-0000-0200-000099000000}"/>
    <hyperlink ref="U612" r:id="rId145" xr:uid="{00000000-0004-0000-0200-00009A000000}"/>
    <hyperlink ref="V612" r:id="rId146" xr:uid="{00000000-0004-0000-0200-00009B000000}"/>
    <hyperlink ref="U611" r:id="rId147" xr:uid="{00000000-0004-0000-0200-00009C000000}"/>
    <hyperlink ref="U645" r:id="rId148" xr:uid="{00000000-0004-0000-0200-00009D000000}"/>
    <hyperlink ref="U565" r:id="rId149" xr:uid="{00000000-0004-0000-0200-00009E000000}"/>
    <hyperlink ref="V565" r:id="rId150" xr:uid="{00000000-0004-0000-0200-00009F000000}"/>
    <hyperlink ref="U614:U615" r:id="rId151" display="https://www.gov.uk/government/speeches/ukraine-foreign-secretary-statement-to-parliament-28-march-2022" xr:uid="{00000000-0004-0000-0200-0000A0000000}"/>
    <hyperlink ref="V614:V615" r:id="rId152" display="https://www.gov.uk/government/news/pm-announces-major-new-military-support-package-for-ukraine-24-march-2022" xr:uid="{00000000-0004-0000-0200-0000A1000000}"/>
    <hyperlink ref="W576" r:id="rId153" xr:uid="{00000000-0004-0000-0200-0000A2000000}"/>
    <hyperlink ref="V576" r:id="rId154" xr:uid="{00000000-0004-0000-0200-0000A3000000}"/>
    <hyperlink ref="U576:U579" r:id="rId155" display="https://www.government.se/articles/2022/02/sweden-to-provide-direct-support-and-defence-materiel-to-ukraine/" xr:uid="{00000000-0004-0000-0200-0000A4000000}"/>
    <hyperlink ref="U580" r:id="rId156" xr:uid="{00000000-0004-0000-0200-0000A5000000}"/>
    <hyperlink ref="V580" r:id="rId157"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A6000000}"/>
    <hyperlink ref="U581" r:id="rId158" xr:uid="{00000000-0004-0000-0200-0000A7000000}"/>
    <hyperlink ref="V576:V579" r:id="rId159" display="https://www.reuters.com/world/europe/sweden-send-military-aid-ukraine-pm-andersson-2022-02-27/ " xr:uid="{00000000-0004-0000-0200-0000A8000000}"/>
    <hyperlink ref="W576:W579" r:id="rId160"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A9000000}"/>
    <hyperlink ref="V562:V564" r:id="rId161" display="https://www.aa.com.tr/en/europe/spain-to-send-weapons-to-ukrainian-forces/2520902 " xr:uid="{00000000-0004-0000-0200-0000AA000000}"/>
    <hyperlink ref="U531:U532" r:id="rId162" display="https://twitter.com/eduardheger/status/1498055152045015046" xr:uid="{00000000-0004-0000-0200-0000AB000000}"/>
    <hyperlink ref="V531:V532" r:id="rId163" display="https://spectator.sme.sk/c/22850259/slovakia-will-send-more-military-aid-to-ukraine.html" xr:uid="{00000000-0004-0000-0200-0000AC000000}"/>
    <hyperlink ref="W531:W532" r:id="rId164" display="https://www.aa.com.tr/en/russia-ukraine-crisis/slovakia-to-send-more-military-supplies-to-ukraine-premier-says/2518136" xr:uid="{00000000-0004-0000-0200-0000AD000000}"/>
    <hyperlink ref="W616" r:id="rId165" xr:uid="{00000000-0004-0000-0200-0000AE000000}"/>
    <hyperlink ref="U647" r:id="rId166" xr:uid="{00000000-0004-0000-0200-0000AF000000}"/>
    <hyperlink ref="V647" r:id="rId167" xr:uid="{00000000-0004-0000-0200-0000B0000000}"/>
    <hyperlink ref="V623" r:id="rId168" xr:uid="{00000000-0004-0000-0200-0000B1000000}"/>
    <hyperlink ref="U556" r:id="rId169" xr:uid="{00000000-0004-0000-0200-0000B2000000}"/>
    <hyperlink ref="V556" r:id="rId170" xr:uid="{00000000-0004-0000-0200-0000B3000000}"/>
    <hyperlink ref="U559" r:id="rId171" xr:uid="{00000000-0004-0000-0200-0000B4000000}"/>
    <hyperlink ref="U561" r:id="rId172" xr:uid="{00000000-0004-0000-0200-0000B5000000}"/>
    <hyperlink ref="V561" r:id="rId173" xr:uid="{00000000-0004-0000-0200-0000B6000000}"/>
    <hyperlink ref="U766" r:id="rId174" xr:uid="{00000000-0004-0000-0200-0000B7000000}"/>
    <hyperlink ref="U636" r:id="rId175" xr:uid="{00000000-0004-0000-0200-0000B8000000}"/>
    <hyperlink ref="U635" r:id="rId176" xr:uid="{00000000-0004-0000-0200-0000B9000000}"/>
    <hyperlink ref="U610" r:id="rId177" xr:uid="{00000000-0004-0000-0200-0000BA000000}"/>
    <hyperlink ref="U529" r:id="rId178" xr:uid="{00000000-0004-0000-0200-0000BB000000}"/>
    <hyperlink ref="U539" r:id="rId179" xr:uid="{00000000-0004-0000-0200-0000BC000000}"/>
    <hyperlink ref="V539" r:id="rId180" xr:uid="{00000000-0004-0000-0200-0000BD000000}"/>
    <hyperlink ref="W539" r:id="rId181" xr:uid="{00000000-0004-0000-0200-0000BE000000}"/>
    <hyperlink ref="U539:U544" r:id="rId182" display="https://www.gov.si/en/news/2022-02-26-humanitarian-contribution-of-the-republic-of-slovenia-to-the-people-of-ukraine/" xr:uid="{00000000-0004-0000-0200-0000BF000000}"/>
    <hyperlink ref="V539:V544" r:id="rId183" display="https://www.gov.si/en/news/2022-03-01-minister-logar-announces-eur-1-1-million-in-humanitarian-aid-for-ukraine/ " xr:uid="{00000000-0004-0000-0200-0000C0000000}"/>
    <hyperlink ref="W539:W544" r:id="rId184" display="https://www.gov.si/en/news/2022-03-07-eu-development-ministers-on-emergency-humanitarian-aid-to-ukraine/ " xr:uid="{00000000-0004-0000-0200-0000C1000000}"/>
    <hyperlink ref="U524" r:id="rId185" xr:uid="{00000000-0004-0000-0200-0000C2000000}"/>
    <hyperlink ref="U520" r:id="rId186" xr:uid="{00000000-0004-0000-0200-0000C3000000}"/>
    <hyperlink ref="V520" r:id="rId187" xr:uid="{00000000-0004-0000-0200-0000C4000000}"/>
    <hyperlink ref="U557" r:id="rId188" xr:uid="{00000000-0004-0000-0200-0000C5000000}"/>
    <hyperlink ref="U495" r:id="rId189" xr:uid="{00000000-0004-0000-0200-0000C6000000}"/>
    <hyperlink ref="U528" r:id="rId190" xr:uid="{00000000-0004-0000-0200-0000C7000000}"/>
    <hyperlink ref="V528" r:id="rId191" xr:uid="{00000000-0004-0000-0200-0000C8000000}"/>
    <hyperlink ref="U530" r:id="rId192" xr:uid="{00000000-0004-0000-0200-0000C9000000}"/>
    <hyperlink ref="U547" r:id="rId193" xr:uid="{00000000-0004-0000-0200-0000CA000000}"/>
    <hyperlink ref="W556" r:id="rId194" xr:uid="{00000000-0004-0000-0200-0000CB000000}"/>
    <hyperlink ref="U566" r:id="rId195" xr:uid="{00000000-0004-0000-0200-0000CC000000}"/>
    <hyperlink ref="U616:U619" r:id="rId196" display="https://www.gov.uk/government/news/uk-to-bolster-defensive-aid-to-ukraine-with-new-100m-package" xr:uid="{00000000-0004-0000-0200-0000CD000000}"/>
    <hyperlink ref="U623:U624" r:id="rId197" display="https://www.gov.uk/government/news/prime-minister-pledges-uks-unwavering-support-to-ukraine-on-visit-to-kyiv-9-april-2022" xr:uid="{00000000-0004-0000-0200-0000CE000000}"/>
    <hyperlink ref="V616:V619" r:id="rId198" display="https://www.gov.uk/government/speeches/pm-opening-remarks-at-press-conference-with-german-chancellor-olaf-scholz-8-april-2022" xr:uid="{00000000-0004-0000-0200-0000CF000000}"/>
    <hyperlink ref="V547" r:id="rId199" xr:uid="{00000000-0004-0000-0200-0000D0000000}"/>
    <hyperlink ref="U711" r:id="rId200" xr:uid="{00000000-0004-0000-0200-0000D4000000}"/>
    <hyperlink ref="V711" r:id="rId201" xr:uid="{00000000-0004-0000-0200-0000D5000000}"/>
    <hyperlink ref="U651" r:id="rId202" xr:uid="{00000000-0004-0000-0200-0000D6000000}"/>
    <hyperlink ref="U652" r:id="rId203" xr:uid="{00000000-0004-0000-0200-0000D7000000}"/>
    <hyperlink ref="U653:U665" r:id="rId204" display="https://www.defense.gov/News/Releases/Release/Article/3007664/fact-sheet-on-us-security-assistance-for-ukraine-roll-up-as-of-april-21-2022/" xr:uid="{00000000-0004-0000-0200-0000D8000000}"/>
    <hyperlink ref="U666:U684" r:id="rId205" display="https://www.defense.gov/News/Releases/Release/Article/3007664/fact-sheet-on-us-security-assistance-for-ukraine-roll-up-as-of-april-21-2022/" xr:uid="{00000000-0004-0000-0200-0000D9000000}"/>
    <hyperlink ref="U685" r:id="rId206" xr:uid="{00000000-0004-0000-0200-0000DA000000}"/>
    <hyperlink ref="U686:U689" r:id="rId207" display="https://www.defense.gov/News/Releases/Release/Article/3007664/fact-sheet-on-us-security-assistance-for-ukraine-roll-up-as-of-april-21-2022/" xr:uid="{00000000-0004-0000-0200-0000DB000000}"/>
    <hyperlink ref="V651" r:id="rId208" xr:uid="{00000000-0004-0000-0200-0000DC000000}"/>
    <hyperlink ref="V652" r:id="rId209" xr:uid="{00000000-0004-0000-0200-0000DD000000}"/>
    <hyperlink ref="V653:V664" r:id="rId210" display="https://appropriations.house.gov/sites/democrats.appropriations.house.gov/files/Ukraine%20Supplemental%20Summary.pdf" xr:uid="{00000000-0004-0000-0200-0000DE000000}"/>
    <hyperlink ref="V666:V684" r:id="rId211" display="https://appropriations.house.gov/sites/democrats.appropriations.house.gov/files/Ukraine%20Supplemental%20Summary.pdf" xr:uid="{00000000-0004-0000-0200-0000DF000000}"/>
    <hyperlink ref="V685" r:id="rId212" xr:uid="{00000000-0004-0000-0200-0000E0000000}"/>
    <hyperlink ref="V686:V689" r:id="rId213" display="https://appropriations.house.gov/sites/democrats.appropriations.house.gov/files/Ukraine%20Supplemental%20Summary.pdf" xr:uid="{00000000-0004-0000-0200-0000E1000000}"/>
    <hyperlink ref="U767" r:id="rId214" xr:uid="{00000000-0004-0000-0200-0000E2000000}"/>
    <hyperlink ref="V767" r:id="rId215" xr:uid="{00000000-0004-0000-0200-0000E3000000}"/>
    <hyperlink ref="U19:U26" r:id="rId216" location=":~:text=Mit%20der%20bereits%20zweiten%20Hilfslieferung,Plastikhandschuhen%2C%20Schutzbrillen%20und%20Desinfektionsmittel%20entsandt" display="https://bmi.gv.at/news.aspx?id=44786F67485A5049462F493D#:~:text=Mit%20der%20bereits%20zweiten%20Hilfslieferung,Plastikhandschuhen%2C%20Schutzbrillen%20und%20Desinfektionsmittel%20entsandt." xr:uid="{00000000-0004-0000-0200-0000E4000000}"/>
    <hyperlink ref="U63:U66" r:id="rId217" display="https://www.canada.ca/en/department-national-defence/news/2022/03/defence-minister-anand-announces-additional-military-support-to-ukraine.html?msclkid=50865665ab9011ecbb2d77d3ecd6e3a6" xr:uid="{00000000-0004-0000-0200-0000E5000000}"/>
    <hyperlink ref="U71:U72" r:id="rId218" display="https://www.canada.ca/en/department-national-defence/news/2022/03/defence-minister-anand-announces-additional-military-support-to-ukraine.html" xr:uid="{00000000-0004-0000-0200-0000E6000000}"/>
    <hyperlink ref="U94:U97" r:id="rId219" display="https://mfa.gov.cy/press-releases/2022/03/09/cyprus-humanitarian-aid-to-ukraine/" xr:uid="{00000000-0004-0000-0200-0000E7000000}"/>
    <hyperlink ref="V94:V97" r:id="rId220" display="https://cyprus-mail.com/2022/04/06/aid-for-ukraine-now-tops-e2-million/" xr:uid="{00000000-0004-0000-0200-0000E8000000}"/>
    <hyperlink ref="U112:U117" r:id="rId221" display="https://www.vlada.cz/cz/media-centrum/aktualne/vlada-petra-fialy-schvalila-dalsi-vojenskou-pomoc-bojujici-ukrajine-194603/" xr:uid="{00000000-0004-0000-0200-0000E9000000}"/>
    <hyperlink ref="V112:V117" r:id="rId222" display="https://www.praguemorning.cz/czech-governmenet-approves-czk-400-million-in-military-aid-for-ukraine/" xr:uid="{00000000-0004-0000-0200-0000EA000000}"/>
    <hyperlink ref="W112:W117" r:id="rId223" display="https://www.politico.com/news/2022/03/22/ukraine-weapons-military-aid-00019104" xr:uid="{00000000-0004-0000-0200-0000EB000000}"/>
    <hyperlink ref="V90" r:id="rId224" xr:uid="{00000000-0004-0000-0200-0000EC000000}"/>
    <hyperlink ref="U90" r:id="rId225" xr:uid="{00000000-0004-0000-0200-0000ED000000}"/>
    <hyperlink ref="V50" r:id="rId226" display="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xr:uid="{00000000-0004-0000-0200-0000EE000000}"/>
    <hyperlink ref="U200" r:id="rId227" xr:uid="{00000000-0004-0000-0200-0000EF000000}"/>
    <hyperlink ref="U588" r:id="rId228" xr:uid="{00000000-0004-0000-0200-0000F1000000}"/>
    <hyperlink ref="U445" r:id="rId229" xr:uid="{00000000-0004-0000-0200-0000F2000000}"/>
    <hyperlink ref="U587" r:id="rId230" xr:uid="{00000000-0004-0000-0200-0000F3000000}"/>
    <hyperlink ref="U162" r:id="rId231" xr:uid="{00000000-0004-0000-0200-0000F4000000}"/>
    <hyperlink ref="U395" r:id="rId232" location=":~:text=The%20Latvian%20government%20has%20directed,of%20military%20aggression%20by%20Russia" xr:uid="{00000000-0004-0000-0200-0000F5000000}"/>
    <hyperlink ref="V395" r:id="rId233" xr:uid="{00000000-0004-0000-0200-0000F6000000}"/>
    <hyperlink ref="U408" r:id="rId234" xr:uid="{00000000-0004-0000-0200-0000F7000000}"/>
    <hyperlink ref="U33" r:id="rId235" xr:uid="{00000000-0004-0000-0200-0000F8000000}"/>
    <hyperlink ref="V162" r:id="rId236" location=":~:text=World%20Bank%3A%20DKK%20150%20million%20(approx.&amp;text=DKK%20150%20million%20(EUR%2020.2,billion)%20to%20the%20Ukrainian%20government" xr:uid="{00000000-0004-0000-0200-0000F9000000}"/>
    <hyperlink ref="U354" r:id="rId237" xr:uid="{00000000-0004-0000-0200-0000FA000000}"/>
    <hyperlink ref="W767" r:id="rId238" xr:uid="{00000000-0004-0000-0200-0000FB000000}"/>
    <hyperlink ref="U384" r:id="rId239" xr:uid="{00000000-0004-0000-0200-0000FC000000}"/>
    <hyperlink ref="V384" r:id="rId240" xr:uid="{00000000-0004-0000-0200-0000FD000000}"/>
    <hyperlink ref="W384" r:id="rId241" xr:uid="{00000000-0004-0000-0200-0000FE000000}"/>
    <hyperlink ref="U236" r:id="rId242" xr:uid="{00000000-0004-0000-0200-0000FF000000}"/>
    <hyperlink ref="U28" r:id="rId243" xr:uid="{00000000-0004-0000-0200-000000010000}"/>
    <hyperlink ref="V28" r:id="rId244" xr:uid="{00000000-0004-0000-0200-000001010000}"/>
    <hyperlink ref="W28" r:id="rId245" xr:uid="{00000000-0004-0000-0200-000002010000}"/>
    <hyperlink ref="U76" r:id="rId246" xr:uid="{00000000-0004-0000-0200-000003010000}"/>
    <hyperlink ref="U434" r:id="rId247" xr:uid="{00000000-0004-0000-0200-000004010000}"/>
    <hyperlink ref="V434" r:id="rId248" xr:uid="{00000000-0004-0000-0200-000005010000}"/>
    <hyperlink ref="W434" r:id="rId249" xr:uid="{00000000-0004-0000-0200-000006010000}"/>
    <hyperlink ref="U407" r:id="rId250" xr:uid="{00000000-0004-0000-0200-000007010000}"/>
    <hyperlink ref="U400" r:id="rId251" xr:uid="{00000000-0004-0000-0200-000008010000}"/>
    <hyperlink ref="V400" r:id="rId252" xr:uid="{00000000-0004-0000-0200-000009010000}"/>
    <hyperlink ref="U396" r:id="rId253" xr:uid="{00000000-0004-0000-0200-00000A010000}"/>
    <hyperlink ref="U212" r:id="rId254" xr:uid="{00000000-0004-0000-0200-00000B010000}"/>
    <hyperlink ref="V212" r:id="rId255" xr:uid="{00000000-0004-0000-0200-00000C010000}"/>
    <hyperlink ref="W212" r:id="rId256" location=":~:text=Finland%27s%20government%20has%20promised%20to,to%20the%20war%2Dtorn%20country.&amp;text=Cryptocurrencies%20have%20come%20to%20aid,for%20over%202%20months%20now" display="https://www.businesstoday.in/crypto/story/finland-set-to-donate-over-eu70-million-worth-of-crypto-to-war-torn-ukraine-331795-2022-04-29#:~:text=Finland%27s%20government%20has%20promised%20to,to%20the%20war%2Dtorn%20country.&amp;text=Cryptocurrencies%20have%20come%20to%20aid,for%20over%202%20months%20now." xr:uid="{00000000-0004-0000-0200-00000D010000}"/>
    <hyperlink ref="V210" r:id="rId257" location="40d3246d" xr:uid="{00000000-0004-0000-0200-00000E010000}"/>
    <hyperlink ref="U210" r:id="rId258" xr:uid="{00000000-0004-0000-0200-00000F010000}"/>
    <hyperlink ref="U201" r:id="rId259" xr:uid="{00000000-0004-0000-0200-000010010000}"/>
    <hyperlink ref="V201:V203" r:id="rId260" display="https://valtioneuvosto.fi/en/-/10616/finland-sends-additional-aid-to-ukraine" xr:uid="{00000000-0004-0000-0200-000011010000}"/>
    <hyperlink ref="V204" r:id="rId261" location=":~:text=On%20the%20proposal%20of%20the%20Government%2C%20the%20President,combat%20ration%20packages%20to%20Ukraine%20as%20material%20aid.?msclkid=43fcac85ab7811ecb0558f7b82e56a26" display="https://valtioneuvosto.fi/en/-/finland-to-send-arms-assistance-to-ukraine - :~:text=On%20the%20proposal%20of%20the%20Government%2C%20the%20President,combat%20ration%20packages%20to%20Ukraine%20as%20material%20aid.?msclkid=43fcac85ab7811ecb0558f7b82e56a26" xr:uid="{00000000-0004-0000-0200-000012010000}"/>
    <hyperlink ref="V208" r:id="rId262" location="c7898b3c" xr:uid="{00000000-0004-0000-0200-000013010000}"/>
    <hyperlink ref="W208" r:id="rId263" display="https://www.arout.net/france-sends-dozens-of-fire-engines-and-ambulances-to-ukraine-to-support-the-war-against-russia/" xr:uid="{00000000-0004-0000-0200-000014010000}"/>
    <hyperlink ref="V209" r:id="rId264" xr:uid="{00000000-0004-0000-0200-000015010000}"/>
    <hyperlink ref="W209" r:id="rId265" xr:uid="{00000000-0004-0000-0200-000016010000}"/>
    <hyperlink ref="U29" r:id="rId266" xr:uid="{00000000-0004-0000-0200-000017010000}"/>
    <hyperlink ref="V29:V32" r:id="rId267" display="https://www.wienerzeitung.at/nachrichten/politik/oesterreich/2146418-Oesterreich-schickte-Ukraine-Armeeausruestung.html" xr:uid="{00000000-0004-0000-0200-000018010000}"/>
    <hyperlink ref="V204:V207" r:id="rId268" location=":~:text=On%20the%20proposal%20of%20the%20Government%2C%20the%20President,combat%20ration%20packages%20to%20Ukraine%20as%20material%20aid.?msclkid=43fcac85ab7811ecb0558f7b82e56a26" display="https://valtioneuvosto.fi/en/-/finland-to-send-arms-assistance-to-ukraine#:~:text=On%20the%20proposal%20of%20the%20Government%2C%20the%20President,combat%20ration%20packages%20to%20Ukraine%20as%20material%20aid.?msclkid=43fcac85ab7811ecb0558f7b82e56a26" xr:uid="{00000000-0004-0000-0200-000019010000}"/>
    <hyperlink ref="W201:W203" r:id="rId269" display="https://www.helsinkitimes.fi/finland/finland-news/domestic/21086-finland-commits-military-protective-equipment-to-ukraine.html" xr:uid="{00000000-0004-0000-0200-00001A010000}"/>
    <hyperlink ref="W210" r:id="rId270" xr:uid="{00000000-0004-0000-0200-00001B010000}"/>
    <hyperlink ref="U409:U411" r:id="rId271" display="https://delano.lu/article/luxembourg-gives-50m-in-milita" xr:uid="{00000000-0004-0000-0200-00001C010000}"/>
    <hyperlink ref="U139" r:id="rId272" xr:uid="{00000000-0004-0000-0200-00001E010000}"/>
    <hyperlink ref="U140" r:id="rId273" xr:uid="{00000000-0004-0000-0200-00001F010000}"/>
    <hyperlink ref="U185" r:id="rId274" xr:uid="{00000000-0004-0000-0200-000020010000}"/>
    <hyperlink ref="U220" r:id="rId275" xr:uid="{00000000-0004-0000-0200-000021010000}"/>
    <hyperlink ref="V220:V224" r:id="rId276" display="https://www.arout.net/france-sends-dozens-of-fire-engines-and-ambulances-to-ukraine-to-support-the-war-against-russia/" xr:uid="{00000000-0004-0000-0200-000022010000}"/>
    <hyperlink ref="U231" r:id="rId277" xr:uid="{00000000-0004-0000-0200-000023010000}"/>
    <hyperlink ref="W235" r:id="rId278" xr:uid="{00000000-0004-0000-0200-000024010000}"/>
    <hyperlink ref="V235" r:id="rId279" xr:uid="{00000000-0004-0000-0200-000025010000}"/>
    <hyperlink ref="U235" r:id="rId280" xr:uid="{00000000-0004-0000-0200-000026010000}"/>
    <hyperlink ref="U232" r:id="rId281" xr:uid="{00000000-0004-0000-0200-000027010000}"/>
    <hyperlink ref="U233" r:id="rId282" xr:uid="{00000000-0004-0000-0200-000028010000}"/>
    <hyperlink ref="V233" r:id="rId283" xr:uid="{00000000-0004-0000-0200-000029010000}"/>
    <hyperlink ref="W233" r:id="rId284" xr:uid="{00000000-0004-0000-0200-00002A010000}"/>
    <hyperlink ref="U234" r:id="rId285" xr:uid="{00000000-0004-0000-0200-00002B010000}"/>
    <hyperlink ref="V234" r:id="rId286" xr:uid="{00000000-0004-0000-0200-00002C010000}"/>
    <hyperlink ref="U237" r:id="rId287" xr:uid="{00000000-0004-0000-0200-00002D010000}"/>
    <hyperlink ref="U243" r:id="rId288" xr:uid="{00000000-0004-0000-0200-00002E010000}"/>
    <hyperlink ref="V243" r:id="rId289" xr:uid="{00000000-0004-0000-0200-00002F010000}"/>
    <hyperlink ref="U244" r:id="rId290" xr:uid="{00000000-0004-0000-0200-000030010000}"/>
    <hyperlink ref="V317" r:id="rId291" xr:uid="{00000000-0004-0000-0200-000031010000}"/>
    <hyperlink ref="U317" r:id="rId292" display="https://twitter.com/PrimeministerGR/status/1504800257447706626?ref_src=twsrc%5Etfw%7Ctwcamp%5Etweetembed%7Ctwterm%5E1504800257447706626%7Ctwgr%5E%7Ctwcon%5Es1_&amp;ref_url=https%3A%2F%2Fwww.keeptalkinggreece.com%2F2022%2F03%2F18%2Fgreece-rebuild-maternity-hospital-mariupol%2F" xr:uid="{00000000-0004-0000-0200-000032010000}"/>
    <hyperlink ref="V318" r:id="rId293" xr:uid="{00000000-0004-0000-0200-000033010000}"/>
    <hyperlink ref="U319" r:id="rId294" display="https://www.mfa.gr/en/current-affairs/statements-speeches/delivery-of-greek-humanitarian-aid-to-the-ukrainian-people-including-diaspora-greeks-in-odessa-11042022-and-departure-of-the-4th-humanitarian-mission-of-the-hellenic-red-cross-to-ukraine-odessa-12042022.html" xr:uid="{00000000-0004-0000-0200-000034010000}"/>
    <hyperlink ref="U318" r:id="rId295" location=":~:text=On%203%20April%202022%2C%20Greek%20Minister%20of%20Foreign,relief%20to%20the%20city%E2%80%99s%20population%2C%20including%20Greek%20diaspora" xr:uid="{00000000-0004-0000-0200-000035010000}"/>
    <hyperlink ref="U316" r:id="rId296" location=":~:text=humanitarian%20aid%20with-,medical%2C%20pharmaceutical%20and%20first%20aid%20material,-.%20The%20humanitarian%20aid" xr:uid="{00000000-0004-0000-0200-000036010000}"/>
    <hyperlink ref="U314" r:id="rId297" xr:uid="{00000000-0004-0000-0200-00003A010000}"/>
    <hyperlink ref="U372" r:id="rId298" xr:uid="{00000000-0004-0000-0200-00003B010000}"/>
    <hyperlink ref="V479" r:id="rId299" xr:uid="{00000000-0004-0000-0200-00003C010000}"/>
    <hyperlink ref="U479" r:id="rId300" xr:uid="{00000000-0004-0000-0200-00003D010000}"/>
    <hyperlink ref="W479" r:id="rId301" xr:uid="{00000000-0004-0000-0200-00003E010000}"/>
    <hyperlink ref="U480" r:id="rId302" xr:uid="{00000000-0004-0000-0200-00003F010000}"/>
    <hyperlink ref="U545" r:id="rId303" xr:uid="{00000000-0004-0000-0200-000046010000}"/>
    <hyperlink ref="U548:U553" r:id="rId304" display="https://english.sta.si/3031756/slovenia-to-send-additional-material-aid-to-ukraine" xr:uid="{00000000-0004-0000-0200-000047010000}"/>
    <hyperlink ref="V548:V553" r:id="rId305" display="https://www.rtvslo.si/radio-si/news/slovenia-promises-aid-to-ukraine/625786" xr:uid="{00000000-0004-0000-0200-000048010000}"/>
    <hyperlink ref="W548:W553" r:id="rId306" display="https://babel.ua/en/news/78193-slovenia-will-provide-180-000-in-financial-assistance-to-ukraine" xr:uid="{00000000-0004-0000-0200-000049010000}"/>
    <hyperlink ref="U609" r:id="rId307" xr:uid="{00000000-0004-0000-0200-00004A010000}"/>
    <hyperlink ref="V609" r:id="rId308" xr:uid="{00000000-0004-0000-0200-00004B010000}"/>
    <hyperlink ref="U606" r:id="rId309" xr:uid="{00000000-0004-0000-0200-00004C010000}"/>
    <hyperlink ref="U607" r:id="rId310" xr:uid="{00000000-0004-0000-0200-00004D010000}"/>
    <hyperlink ref="V607" r:id="rId311" xr:uid="{00000000-0004-0000-0200-00004E010000}"/>
    <hyperlink ref="U608" r:id="rId312" xr:uid="{00000000-0004-0000-0200-00004F010000}"/>
    <hyperlink ref="W607" r:id="rId313" xr:uid="{00000000-0004-0000-0200-000050010000}"/>
    <hyperlink ref="U644" r:id="rId314" xr:uid="{00000000-0004-0000-0200-000051010000}"/>
    <hyperlink ref="V644" r:id="rId315" xr:uid="{00000000-0004-0000-0200-000052010000}"/>
    <hyperlink ref="W644" r:id="rId316" xr:uid="{00000000-0004-0000-0200-000053010000}"/>
    <hyperlink ref="U163" r:id="rId317" display="https://www.ukrinform.net/rubric-ato/3412835-estonia-sending-javelins-and-antiaircraft-ammunition-to-ukraine.html" xr:uid="{00000000-0004-0000-0200-000055010000}"/>
    <hyperlink ref="U163:U165" r:id="rId318" location=":~:text=Estonian%20people%2C%20government%20and%20private,aid%20to%20Ukraine%20in%20total.&amp;text=Govermental%20aid%20means%20means%20assistance,state%20budget%20through%20state%20agencies" display="https://vm.ee/en/humanitarian-aid-ukraine#:~:text=Estonian%20people%2C%20government%20and%20private,aid%20to%20Ukraine%20in%20total.&amp;text=Govermental%20aid%20means%20means%20assistance,state%20budget%20through%20state%20agencies." xr:uid="{00000000-0004-0000-0200-000056010000}"/>
    <hyperlink ref="V163" r:id="rId319" xr:uid="{00000000-0004-0000-0200-000057010000}"/>
    <hyperlink ref="V163:V165" r:id="rId320" display="https://kaitseministeerium.ee/en/news/estonia-donated-missiles-anti-tank-weapon-system-javelin-ukraine" xr:uid="{00000000-0004-0000-0200-000058010000}"/>
    <hyperlink ref="U3" r:id="rId321" xr:uid="{00000000-0004-0000-0200-000059010000}"/>
    <hyperlink ref="W3" r:id="rId322" xr:uid="{00000000-0004-0000-0200-00005A010000}"/>
    <hyperlink ref="V3" r:id="rId323" xr:uid="{00000000-0004-0000-0200-00005B010000}"/>
    <hyperlink ref="U461" r:id="rId324" xr:uid="{00000000-0004-0000-0200-00005C010000}"/>
    <hyperlink ref="V461" r:id="rId325" xr:uid="{00000000-0004-0000-0200-00005D010000}"/>
    <hyperlink ref="U474" r:id="rId326" xr:uid="{00000000-0004-0000-0200-00005E010000}"/>
    <hyperlink ref="U475" r:id="rId327" xr:uid="{00000000-0004-0000-0200-00005F010000}"/>
    <hyperlink ref="U590" r:id="rId328" xr:uid="{00000000-0004-0000-0200-000060010000}"/>
    <hyperlink ref="U591:U595" r:id="rId329" display="https://twitter.com/AFADTurkey/status/1497633720068714497" xr:uid="{00000000-0004-0000-0200-000061010000}"/>
    <hyperlink ref="U596" r:id="rId330" xr:uid="{00000000-0004-0000-0200-000062010000}"/>
    <hyperlink ref="U39" r:id="rId331" xr:uid="{00000000-0004-0000-0200-000063010000}"/>
    <hyperlink ref="V44" r:id="rId332" xr:uid="{00000000-0004-0000-0200-000064010000}"/>
    <hyperlink ref="W44" r:id="rId333" xr:uid="{00000000-0004-0000-0200-000065010000}"/>
    <hyperlink ref="W91" r:id="rId334" xr:uid="{00000000-0004-0000-0200-000066010000}"/>
    <hyperlink ref="U91" r:id="rId335" xr:uid="{00000000-0004-0000-0200-000067010000}"/>
    <hyperlink ref="U451" r:id="rId336" xr:uid="{00000000-0004-0000-0200-000068010000}"/>
    <hyperlink ref="U589" r:id="rId337" xr:uid="{00000000-0004-0000-0200-000069010000}"/>
    <hyperlink ref="V589" r:id="rId338" xr:uid="{00000000-0004-0000-0200-00006A010000}"/>
    <hyperlink ref="W589" r:id="rId339" xr:uid="{00000000-0004-0000-0200-00006C010000}"/>
    <hyperlink ref="U457" r:id="rId340" xr:uid="{00000000-0004-0000-0200-00006D010000}"/>
    <hyperlink ref="V457" r:id="rId341" xr:uid="{00000000-0004-0000-0200-00006E010000}"/>
    <hyperlink ref="W457" r:id="rId342" xr:uid="{00000000-0004-0000-0200-00006F010000}"/>
    <hyperlink ref="W458" r:id="rId343" xr:uid="{00000000-0004-0000-0200-000070010000}"/>
    <hyperlink ref="U458" r:id="rId344" xr:uid="{00000000-0004-0000-0200-000071010000}"/>
    <hyperlink ref="U459" r:id="rId345" xr:uid="{00000000-0004-0000-0200-000072010000}"/>
    <hyperlink ref="V458" r:id="rId346" xr:uid="{00000000-0004-0000-0200-000073010000}"/>
    <hyperlink ref="V459" r:id="rId347" xr:uid="{00000000-0004-0000-0200-000074010000}"/>
    <hyperlink ref="V474" r:id="rId348" xr:uid="{00000000-0004-0000-0200-000075010000}"/>
    <hyperlink ref="U477" r:id="rId349" xr:uid="{00000000-0004-0000-0200-000076010000}"/>
    <hyperlink ref="V477" r:id="rId350" xr:uid="{00000000-0004-0000-0200-000077010000}"/>
    <hyperlink ref="U468" r:id="rId351" xr:uid="{00000000-0004-0000-0200-000078010000}"/>
    <hyperlink ref="V468" r:id="rId352" xr:uid="{00000000-0004-0000-0200-000079010000}"/>
    <hyperlink ref="U449" r:id="rId353" xr:uid="{00000000-0004-0000-0200-00007A010000}"/>
    <hyperlink ref="V449" r:id="rId354" xr:uid="{00000000-0004-0000-0200-00007B010000}"/>
    <hyperlink ref="W449" r:id="rId355" xr:uid="{00000000-0004-0000-0200-00007C010000}"/>
    <hyperlink ref="W450" r:id="rId356" xr:uid="{00000000-0004-0000-0200-00007D010000}"/>
    <hyperlink ref="V450" r:id="rId357" xr:uid="{00000000-0004-0000-0200-00007E010000}"/>
    <hyperlink ref="U450" r:id="rId358" xr:uid="{00000000-0004-0000-0200-00007F010000}"/>
    <hyperlink ref="U455" r:id="rId359" xr:uid="{00000000-0004-0000-0200-000080010000}"/>
    <hyperlink ref="V455" r:id="rId360" xr:uid="{00000000-0004-0000-0200-000081010000}"/>
    <hyperlink ref="W455" r:id="rId361" xr:uid="{00000000-0004-0000-0200-000082010000}"/>
    <hyperlink ref="V451" r:id="rId362" xr:uid="{00000000-0004-0000-0200-000084010000}"/>
    <hyperlink ref="U511" r:id="rId363" xr:uid="{00000000-0004-0000-0200-000085010000}"/>
    <hyperlink ref="V511" r:id="rId364" xr:uid="{00000000-0004-0000-0200-000086010000}"/>
    <hyperlink ref="W511" r:id="rId365" xr:uid="{00000000-0004-0000-0200-000087010000}"/>
    <hyperlink ref="U515" r:id="rId366" xr:uid="{00000000-0004-0000-0200-000088010000}"/>
    <hyperlink ref="V515" r:id="rId367" xr:uid="{00000000-0004-0000-0200-000089010000}"/>
    <hyperlink ref="W514" r:id="rId368" xr:uid="{00000000-0004-0000-0200-00008A010000}"/>
    <hyperlink ref="W512" r:id="rId369" xr:uid="{00000000-0004-0000-0200-00008B010000}"/>
    <hyperlink ref="V512" r:id="rId370" xr:uid="{00000000-0004-0000-0200-00008C010000}"/>
    <hyperlink ref="V514" r:id="rId371" xr:uid="{00000000-0004-0000-0200-00008D010000}"/>
    <hyperlink ref="U512" r:id="rId372" xr:uid="{00000000-0004-0000-0200-00008E010000}"/>
    <hyperlink ref="U514" r:id="rId373" xr:uid="{00000000-0004-0000-0200-00008F010000}"/>
    <hyperlink ref="U446:U448" r:id="rId374" display="https://www.beehive.govt.nz/release/nz-provide-non-lethal-military-assistance-ukraine" xr:uid="{00000000-0004-0000-0200-000090010000}"/>
    <hyperlink ref="V446:V448" r:id="rId375" display="https://www.reuters.com/world/new-zealand-provide-ukraine-with-non-lethal-military-assistance-2022-03-21/" xr:uid="{00000000-0004-0000-0200-000091010000}"/>
    <hyperlink ref="U76:U77" r:id="rId376" display="https://www.canada.ca/en/department-national-defence/news/2022/04/canada-announces-artillery-and-other-additional-military-aid-for-ukraine.html" xr:uid="{00000000-0004-0000-0200-000092010000}"/>
    <hyperlink ref="V76:V77" r:id="rId377" display="https://www.cbc.ca/news/politics/ukraine-m777-howitzer-russia-heavy-artillery-1.6427762" xr:uid="{00000000-0004-0000-0200-000093010000}"/>
    <hyperlink ref="U149" r:id="rId378" location=":~:text=Denmarks%20has%20allocated%20another%20DKK,war%20crimes%20committed%20in%20Ukraine" xr:uid="{00000000-0004-0000-0200-000094010000}"/>
    <hyperlink ref="U81:U84" r:id="rId379" display="https://pm.gc.ca/en/news/news-releases/2022/05/08/prime-minister-visits-kyiv-ukraine" xr:uid="{00000000-0004-0000-0200-000095010000}"/>
    <hyperlink ref="V408" r:id="rId380" xr:uid="{00000000-0004-0000-0200-000096010000}"/>
    <hyperlink ref="U637" r:id="rId381" xr:uid="{00000000-0004-0000-0200-000098010000}"/>
    <hyperlink ref="V637" r:id="rId382" xr:uid="{00000000-0004-0000-0200-000099010000}"/>
    <hyperlink ref="V642" r:id="rId383" xr:uid="{00000000-0004-0000-0200-00009A010000}"/>
    <hyperlink ref="U642" r:id="rId384" xr:uid="{00000000-0004-0000-0200-00009B010000}"/>
    <hyperlink ref="U639" r:id="rId385" xr:uid="{00000000-0004-0000-0200-00009C010000}"/>
    <hyperlink ref="U640" r:id="rId386" xr:uid="{00000000-0004-0000-0200-00009D010000}"/>
    <hyperlink ref="U648" r:id="rId387" xr:uid="{00000000-0004-0000-0200-00009E010000}"/>
    <hyperlink ref="U649" r:id="rId388" xr:uid="{00000000-0004-0000-0200-00009F010000}"/>
    <hyperlink ref="U650" r:id="rId389" xr:uid="{00000000-0004-0000-0200-0000A0010000}"/>
    <hyperlink ref="W163:W165" r:id="rId390" display="https://news.err.ee/1608589426/estonia-s-military-aid-to-ukraine-totals-230-million" xr:uid="{00000000-0004-0000-0200-0000A1010000}"/>
    <hyperlink ref="V236" r:id="rId391" xr:uid="{00000000-0004-0000-0200-0000A2010000}"/>
    <hyperlink ref="V526" r:id="rId392" xr:uid="{00000000-0004-0000-0200-0000A3010000}"/>
    <hyperlink ref="U348:U350" r:id="rId393" display="https://www.gov.ie/en/press-release/b80b7-government-ministers-announce-irish-support-for-ukrainian-health-service/?msclkid=07ab0901b05a11ec8239ca04bfcdbb9d" xr:uid="{00000000-0004-0000-0200-0000A5010000}"/>
    <hyperlink ref="U331:U333" r:id="rId394" display="https://telex.hu/kulfold/2022/02/27/magyarorszag-100-ezer-liter-uzemanyagot-adomanyozott-karpataljanak" xr:uid="{00000000-0004-0000-0200-0000A6010000}"/>
    <hyperlink ref="U334:U337" r:id="rId395" display="https://abouthungary.hu/news-in-brief/hungary-to-make-another-shipment-of-humanitarian-aid-to-ukraine?msclkid=ca53d542ab8b11ec95fbf81dabb45ae9" xr:uid="{00000000-0004-0000-0200-0000A7010000}"/>
    <hyperlink ref="V47" r:id="rId396" xr:uid="{00000000-0004-0000-0200-0000A8010000}"/>
    <hyperlink ref="U47" r:id="rId397" display="https://www.dw.com/bg/%D0%BF%D0%B0%D1%80%D0%BB%D0%B0%D0%BC%D0%B5%D0%BD%D1%82%D1%8A%D1%82-%D1%80%D0%B5%D1%88%D0%B8-%D0%B1%D1%8A%D0%BB%D0%B3%D0%B0%D1%80%D0%B8%D1%8F-%D1%89%D0%B5-%D0%BE%D0%BA%D0%B0%D0%B6%D0%B5-%D0%B2%D0%BE%D0%B5%D0%BD%D0%BD%D0%BE-%D1%82%D0%B5%D1%85%D0%BD%D0%B8%D1%87%D0%B5%D1%81%D0%BA%D0%B0-%D0%BF%D0%BE%D0%BC%D0%BE%D1%89-%D0%BD%D0%B0-%D1%83%D0%BA%D1%80%D0%B0%D0%B9%D0%BD%D0%B0/a-61683857" xr:uid="{00000000-0004-0000-0200-0000A9010000}"/>
    <hyperlink ref="W666:W684" r:id="rId398" display="https://www.19fortyfive.com/2022/04/switchblade-the-drone-giving-ukraine-a-big-edge-against-russia/" xr:uid="{00000000-0004-0000-0200-0000AA010000}"/>
    <hyperlink ref="W686:W689" r:id="rId399" display="https://www.legion.org/news/255649/more-half-90-us-howitzers-bound-ukraine-now-delivered" xr:uid="{00000000-0004-0000-0200-0000AB010000}"/>
    <hyperlink ref="U15:U16" r:id="rId400" display="https://www.peterdutton.com.au/joint-media-release-australia-to-provide-additional-support-to-ukraine/" xr:uid="{00000000-0004-0000-0200-0000AD010000}"/>
    <hyperlink ref="W477" r:id="rId401" xr:uid="{00000000-0004-0000-0200-0000AE010000}"/>
    <hyperlink ref="V17" r:id="rId402" xr:uid="{00000000-0004-0000-0200-0000AF010000}"/>
    <hyperlink ref="U452" r:id="rId403" xr:uid="{00000000-0004-0000-0200-0000B0010000}"/>
    <hyperlink ref="V452" r:id="rId404" xr:uid="{00000000-0004-0000-0200-0000B1010000}"/>
    <hyperlink ref="U52" r:id="rId405" xr:uid="{00000000-0004-0000-0200-0000B2010000}"/>
    <hyperlink ref="V52" r:id="rId406" xr:uid="{00000000-0004-0000-0200-0000B3010000}"/>
    <hyperlink ref="W52" r:id="rId407" xr:uid="{00000000-0004-0000-0200-0000B4010000}"/>
    <hyperlink ref="U57" r:id="rId408" xr:uid="{00000000-0004-0000-0200-0000B5010000}"/>
    <hyperlink ref="V57" r:id="rId409" xr:uid="{00000000-0004-0000-0200-0000B6010000}"/>
    <hyperlink ref="U78" r:id="rId410" xr:uid="{00000000-0004-0000-0200-0000B7010000}"/>
    <hyperlink ref="V78" r:id="rId411" xr:uid="{00000000-0004-0000-0200-0000B8010000}"/>
    <hyperlink ref="W78" r:id="rId412" xr:uid="{00000000-0004-0000-0200-0000B9010000}"/>
    <hyperlink ref="V80" r:id="rId413" xr:uid="{00000000-0004-0000-0200-0000BA010000}"/>
    <hyperlink ref="W80" r:id="rId414" xr:uid="{00000000-0004-0000-0200-0000BB010000}"/>
    <hyperlink ref="V150" r:id="rId415" xr:uid="{00000000-0004-0000-0200-0000BC010000}"/>
    <hyperlink ref="V159" r:id="rId416" xr:uid="{00000000-0004-0000-0200-0000BD010000}"/>
    <hyperlink ref="W159" r:id="rId417" xr:uid="{00000000-0004-0000-0200-0000BE010000}"/>
    <hyperlink ref="U159" r:id="rId418" xr:uid="{00000000-0004-0000-0200-0000BF010000}"/>
    <hyperlink ref="U186" r:id="rId419" xr:uid="{00000000-0004-0000-0200-0000C0010000}"/>
    <hyperlink ref="U385" r:id="rId420" xr:uid="{00000000-0004-0000-0200-0000C1010000}"/>
    <hyperlink ref="W385" r:id="rId421" xr:uid="{00000000-0004-0000-0200-0000C2010000}"/>
    <hyperlink ref="V385" r:id="rId422" xr:uid="{00000000-0004-0000-0200-0000C3010000}"/>
    <hyperlink ref="U373" r:id="rId423" xr:uid="{00000000-0004-0000-0200-0000C4010000}"/>
    <hyperlink ref="V373" r:id="rId424" xr:uid="{00000000-0004-0000-0200-0000C5010000}"/>
    <hyperlink ref="V389" r:id="rId425" display="https://twitter.com/edgarsrinkevics/status/1511694357560180745?ref_src=twsrc%5Etfw%7Ctwcamp%5Etweetembed%7Ctwterm%5E1511694357560180745%7Ctwgr%5E%7Ctwcon%5Es1_&amp;ref_url=https%3A%2F%2Fwww.redditmedia.com%2Fmediaembed%2Ftxqhaq%3Fresponsive%3Dtrueis_nightmode%3Dfalse" xr:uid="{00000000-0004-0000-0200-0000C6010000}"/>
    <hyperlink ref="W389" r:id="rId426" xr:uid="{00000000-0004-0000-0200-0000C7010000}"/>
    <hyperlink ref="W389:W394" r:id="rId427" display="https://www.mfa.gov.lv/en/article/latvian-foreign-ministry-channel-eur-24000000-towards-assistance-ukraine" xr:uid="{00000000-0004-0000-0200-0000C8010000}"/>
    <hyperlink ref="U401:U403" r:id="rId428" display="https://interfax.com/newsroom/top-stories/79528/" xr:uid="{00000000-0004-0000-0200-0000C9010000}"/>
    <hyperlink ref="V401:V403" r:id="rId429" display="https://www.lrt.lt/en/news-in-english/19/1702086/lithuania-to-hand-over-eur15-5-million-worth-of-armoured-vehicles-trucks-suvs-to-ukraine" xr:uid="{00000000-0004-0000-0200-0000CA010000}"/>
    <hyperlink ref="U415" r:id="rId430" xr:uid="{00000000-0004-0000-0200-0000CB010000}"/>
    <hyperlink ref="V414" r:id="rId431" xr:uid="{00000000-0004-0000-0200-0000CC010000}"/>
    <hyperlink ref="U414" r:id="rId432" xr:uid="{00000000-0004-0000-0200-0000CD010000}"/>
    <hyperlink ref="U416" r:id="rId433" xr:uid="{00000000-0004-0000-0200-0000CE010000}"/>
    <hyperlink ref="V415" r:id="rId434" xr:uid="{00000000-0004-0000-0200-0000CF010000}"/>
    <hyperlink ref="U443" r:id="rId435" xr:uid="{00000000-0004-0000-0200-0000D0010000}"/>
    <hyperlink ref="U444" r:id="rId436" xr:uid="{00000000-0004-0000-0200-0000D1010000}"/>
    <hyperlink ref="V560" r:id="rId437" xr:uid="{00000000-0004-0000-0200-0000D2010000}"/>
    <hyperlink ref="W560" r:id="rId438" xr:uid="{00000000-0004-0000-0200-0000D3010000}"/>
    <hyperlink ref="U560" r:id="rId439" xr:uid="{00000000-0004-0000-0200-0000D4010000}"/>
    <hyperlink ref="W567" r:id="rId440" xr:uid="{00000000-0004-0000-0200-0000D5010000}"/>
    <hyperlink ref="U567:U569" r:id="rId441" display="https://www.lamoncloa.gob.es/lang/en/presidente/news/paginas/2022/20220421_visit-to-ukraine.aspx" xr:uid="{00000000-0004-0000-0200-0000D6010000}"/>
    <hyperlink ref="V573" r:id="rId442" location=":~:text=Due%20to%20Russia's%20aggression%20against,to%20the%20growing%20humanitarian%20needs" xr:uid="{00000000-0004-0000-0200-0000D7010000}"/>
    <hyperlink ref="U573" r:id="rId443" location=":~:text=Sweden%27s%20support%20to%20Ukraine&amp;text=Sweden%20is%20one%20of%20CERF%27s,SEK%2035%20million%20in%202022" xr:uid="{00000000-0004-0000-0200-0000D8010000}"/>
    <hyperlink ref="V574" r:id="rId444" xr:uid="{00000000-0004-0000-0200-0000D9010000}"/>
    <hyperlink ref="W574" r:id="rId445" xr:uid="{00000000-0004-0000-0200-0000DA010000}"/>
    <hyperlink ref="W573" r:id="rId446" xr:uid="{00000000-0004-0000-0200-0000DB010000}"/>
    <hyperlink ref="U574" r:id="rId447" xr:uid="{00000000-0004-0000-0200-0000DC010000}"/>
    <hyperlink ref="X150:X158" r:id="rId448" display="https://militaryleak.com/2022/05/01/denmark-to-send-m113-armored-personnel-carriers-and-weapons-to-ukraine/" xr:uid="{00000000-0004-0000-0200-0000DD010000}"/>
    <hyperlink ref="V150:V158" r:id="rId449" display="https://www.armyrecognition.com/defense_news_april_2022_global_security_army_industry/denmark_approves_delivery_of_m113_tracked_armored_vehicles_and_ammunition_to_ukraine.html" xr:uid="{00000000-0004-0000-0200-0000DE010000}"/>
    <hyperlink ref="W150:W158" r:id="rId450" display="https://en.kriseinformation.dk/denmarks-reactions/denmarks-contributions" xr:uid="{00000000-0004-0000-0200-0000DF010000}"/>
    <hyperlink ref="AA15" r:id="rId451" xr:uid="{00000000-0004-0000-0200-0000E0010000}"/>
    <hyperlink ref="AA12" r:id="rId452" xr:uid="{00000000-0004-0000-0200-0000E1010000}"/>
    <hyperlink ref="AA460" r:id="rId453" xr:uid="{00000000-0004-0000-0200-0000E2010000}"/>
    <hyperlink ref="AA78" r:id="rId454" xr:uid="{00000000-0004-0000-0200-0000E3010000}"/>
    <hyperlink ref="AA159" r:id="rId455" xr:uid="{00000000-0004-0000-0200-0000E4010000}"/>
    <hyperlink ref="AA568" r:id="rId456" xr:uid="{00000000-0004-0000-0200-0000E5010000}"/>
    <hyperlink ref="AA150" r:id="rId457" xr:uid="{00000000-0004-0000-0200-0000E6010000}"/>
    <hyperlink ref="U184" r:id="rId458" location=":~:text=Estonian%20people%2C%20government%20and%20private,aid%20to%20Ukraine%20in%20total &amp;text=Govermental%20aid%20means%20means%20assistance,state%20budget%20through%20state%20agencies" xr:uid="{00000000-0004-0000-0200-0000F0010000}"/>
    <hyperlink ref="U227" r:id="rId459" xr:uid="{00000000-0004-0000-0200-0000F1010000}"/>
    <hyperlink ref="U238" r:id="rId460" xr:uid="{00000000-0004-0000-0200-0000F2010000}"/>
    <hyperlink ref="U241" r:id="rId461" xr:uid="{00000000-0004-0000-0200-0000F3010000}"/>
    <hyperlink ref="V241" r:id="rId462" xr:uid="{00000000-0004-0000-0200-0000F4010000}"/>
    <hyperlink ref="U242" r:id="rId463" xr:uid="{00000000-0004-0000-0200-0000F5010000}"/>
    <hyperlink ref="U315" r:id="rId464" xr:uid="{00000000-0004-0000-0200-0000FB010000}"/>
    <hyperlink ref="V315" r:id="rId465" xr:uid="{00000000-0004-0000-0200-0000FC010000}"/>
    <hyperlink ref="W315" r:id="rId466" xr:uid="{00000000-0004-0000-0200-0000FD010000}"/>
    <hyperlink ref="U357" r:id="rId467" xr:uid="{00000000-0004-0000-0200-0000FE010000}"/>
    <hyperlink ref="U359:U363" r:id="rId468" display="https://www.esteri.it/en/politica-estera-e-cooperazione-allo-sviluppo/aree_geografiche/europa/litalia-a-sostegno-dellucraina/" xr:uid="{00000000-0004-0000-0200-0000FF010000}"/>
    <hyperlink ref="U364" r:id="rId469" xr:uid="{00000000-0004-0000-0200-000000020000}"/>
    <hyperlink ref="V364" r:id="rId470" xr:uid="{00000000-0004-0000-0200-000001020000}"/>
    <hyperlink ref="U365" r:id="rId471" xr:uid="{00000000-0004-0000-0200-000002020000}"/>
    <hyperlink ref="U367" r:id="rId472" xr:uid="{00000000-0004-0000-0200-000003020000}"/>
    <hyperlink ref="W368:W369" r:id="rId473" display="https://www.fanpage.it/politica/armi-allucraina-arriva-il-terzo-decreto-del-governo-lelenco-e-secretato-come-i-precedenti/" xr:uid="{00000000-0004-0000-0200-000004020000}"/>
    <hyperlink ref="U368:U369" r:id="rId474" display="https://www.gazzettaufficiale.it/atto/serie_generale/caricaDettaglioAtto/originario?atto.dataPubblicazioneGazzetta=2022-05-13&amp;atto.codiceRedazionale=22A02976&amp;elenco30giorni=false" xr:uid="{00000000-0004-0000-0200-000005020000}"/>
    <hyperlink ref="V367" r:id="rId475" xr:uid="{00000000-0004-0000-0200-000006020000}"/>
    <hyperlink ref="AA63" r:id="rId476" xr:uid="{00000000-0004-0000-0200-000008020000}"/>
    <hyperlink ref="AA65" r:id="rId477" xr:uid="{00000000-0004-0000-0200-000009020000}"/>
    <hyperlink ref="AA66" r:id="rId478" xr:uid="{00000000-0004-0000-0200-00000A020000}"/>
    <hyperlink ref="AA71" r:id="rId479" xr:uid="{00000000-0004-0000-0200-00000B020000}"/>
    <hyperlink ref="AA72" r:id="rId480" xr:uid="{00000000-0004-0000-0200-00000C020000}"/>
    <hyperlink ref="AA76" r:id="rId481" xr:uid="{00000000-0004-0000-0200-00000D020000}"/>
    <hyperlink ref="U641" r:id="rId482" xr:uid="{00000000-0004-0000-0200-00000E020000}"/>
    <hyperlink ref="U690" r:id="rId483" xr:uid="{00000000-0004-0000-0200-00000F020000}"/>
    <hyperlink ref="U695:U699" r:id="rId484" display="https://www.defense.gov/News/News-Stories/Article/Article/3038121/additional-100-million-in-howitzers-tactical-vehicles-radars-headed-to-ukraine/source/additional-100-million-in-howitzers-tactical-vehicles-radars-headed-to-ukraine/" xr:uid="{00000000-0004-0000-0200-000010020000}"/>
    <hyperlink ref="U765" r:id="rId485" xr:uid="{00000000-0004-0000-0200-000016020000}"/>
    <hyperlink ref="AA81" r:id="rId486" xr:uid="{00000000-0004-0000-0200-000017020000}"/>
    <hyperlink ref="V768" r:id="rId487" xr:uid="{00000000-0004-0000-0200-000018020000}"/>
    <hyperlink ref="U768" r:id="rId488" xr:uid="{00000000-0004-0000-0200-000019020000}"/>
    <hyperlink ref="U769" r:id="rId489" xr:uid="{00000000-0004-0000-0200-00001A020000}"/>
    <hyperlink ref="V769" r:id="rId490" xr:uid="{00000000-0004-0000-0200-00001B020000}"/>
    <hyperlink ref="U770" r:id="rId491" xr:uid="{00000000-0004-0000-0200-00001C020000}"/>
    <hyperlink ref="AA151" r:id="rId492" xr:uid="{00000000-0004-0000-0200-00001D020000}"/>
    <hyperlink ref="U320" r:id="rId493" display="https://www.stripes.com/theaters/us/2022-05-23/ukraine-russia-war-military-weapons-6104132.html" xr:uid="{00000000-0004-0000-0200-00001E020000}"/>
    <hyperlink ref="V510" r:id="rId494" xr:uid="{00000000-0004-0000-0200-00001F020000}"/>
    <hyperlink ref="W510" r:id="rId495" xr:uid="{00000000-0004-0000-0200-000020020000}"/>
    <hyperlink ref="X510" r:id="rId496" xr:uid="{00000000-0004-0000-0200-000021020000}"/>
    <hyperlink ref="V509" r:id="rId497" xr:uid="{00000000-0004-0000-0200-000022020000}"/>
    <hyperlink ref="U507:U508" r:id="rId498" display="https://mil.in.ua/en/news/portugal-is-preparing-to-hand-over-m113-armored-personnel-carriers-to-ukraine-media/" xr:uid="{00000000-0004-0000-0200-000023020000}"/>
    <hyperlink ref="V507:V508" r:id="rId499" display="https://en.defence-ua.com/weapon_and_tech/portugal_to_send_howitzers_and_apcs_to_ukraine-2846.html" xr:uid="{00000000-0004-0000-0200-000024020000}"/>
    <hyperlink ref="AA666" r:id="rId500" xr:uid="{00000000-0004-0000-0200-000026020000}"/>
    <hyperlink ref="AA686" r:id="rId501" location=":~:text=More%20than%20100%20M777%20howitzers,according%20to%20the%20Defense%20Department" xr:uid="{00000000-0004-0000-0200-000027020000}"/>
    <hyperlink ref="AA236" r:id="rId502" xr:uid="{00000000-0004-0000-0200-000028020000}"/>
    <hyperlink ref="AA368" r:id="rId503" xr:uid="{00000000-0004-0000-0200-000029020000}"/>
    <hyperlink ref="AA434" r:id="rId504" xr:uid="{00000000-0004-0000-0200-00002A020000}"/>
    <hyperlink ref="AA322" r:id="rId505" location=":~:text=Greece%20sent%20Ukraine%20military%20equipment%20compatible%20with%20that,rocket%20launchers%2C%20aligning%20itself%20with%20NATO%E2%80%99s%20indirect%20assistance.?msclkid=6dac7726ab8911ec980d9386f90d3180" display="https://www.thenationalherald.com/russias-ukraine-invasion-sees-greece-taking-bigger-nato-role/#:~:text=Greece%20sent%20Ukraine%20military%20equipment%20compatible%20with%20that,rocket%20launchers%2C%20aligning%20itself%20with%20NATO%E2%80%99s%20indirect%20assistance.?msclkid=6dac7726ab8911ec980d9386f90d3180" xr:uid="{00000000-0004-0000-0200-00002C020000}"/>
    <hyperlink ref="AA674" r:id="rId506" xr:uid="{00000000-0004-0000-0200-00002D020000}"/>
    <hyperlink ref="AA673" r:id="rId507" xr:uid="{00000000-0004-0000-0200-000030020000}"/>
    <hyperlink ref="AA435" r:id="rId508" xr:uid="{00000000-0004-0000-0200-000031020000}"/>
    <hyperlink ref="AA612" r:id="rId509" xr:uid="{00000000-0004-0000-0200-000034020000}"/>
    <hyperlink ref="AA670" r:id="rId510" xr:uid="{00000000-0004-0000-0200-000038020000}"/>
    <hyperlink ref="X686" r:id="rId511" xr:uid="{00000000-0004-0000-0200-000039020000}"/>
    <hyperlink ref="AA67" r:id="rId512" xr:uid="{00000000-0004-0000-0200-00003A020000}"/>
    <hyperlink ref="AA201" r:id="rId513" xr:uid="{00000000-0004-0000-0200-00003B020000}"/>
    <hyperlink ref="AA204" r:id="rId514" xr:uid="{00000000-0004-0000-0200-00003C020000}"/>
    <hyperlink ref="AA235" r:id="rId515" xr:uid="{00000000-0004-0000-0200-00003D020000}"/>
    <hyperlink ref="W320:W322" r:id="rId516" display="https://twitter.com/visegrad24/status/1504145180647170060?cxt=HHwWmIC58dGE5t8pAAAA" xr:uid="{00000000-0004-0000-0200-00003F020000}"/>
    <hyperlink ref="AA320" r:id="rId517" xr:uid="{00000000-0004-0000-0200-000040020000}"/>
    <hyperlink ref="AA376" r:id="rId518" xr:uid="{00000000-0004-0000-0200-000041020000}"/>
    <hyperlink ref="AA380" r:id="rId519" xr:uid="{00000000-0004-0000-0200-000042020000}"/>
    <hyperlink ref="V530" r:id="rId520" xr:uid="{00000000-0004-0000-0200-000043020000}"/>
    <hyperlink ref="AA397" r:id="rId521" xr:uid="{00000000-0004-0000-0200-000044020000}"/>
    <hyperlink ref="AA400" r:id="rId522" xr:uid="{00000000-0004-0000-0200-000045020000}"/>
    <hyperlink ref="AA399" r:id="rId523" xr:uid="{00000000-0004-0000-0200-000046020000}"/>
    <hyperlink ref="AA398" r:id="rId524" xr:uid="{00000000-0004-0000-0200-000047020000}"/>
    <hyperlink ref="X163:X166" r:id="rId525" display="https://news.err.ee/1608555886/estonia-s-220-million-military-aid-to-ukraine-substantially-diversified" xr:uid="{00000000-0004-0000-0200-000048020000}"/>
    <hyperlink ref="AA401" r:id="rId526" xr:uid="{00000000-0004-0000-0200-000049020000}"/>
    <hyperlink ref="U183" r:id="rId527" xr:uid="{00000000-0004-0000-0200-00004A020000}"/>
    <hyperlink ref="AA409" r:id="rId528" xr:uid="{00000000-0004-0000-0200-00004B020000}"/>
    <hyperlink ref="V581" r:id="rId529" xr:uid="{00000000-0004-0000-0200-00004E020000}"/>
    <hyperlink ref="AA457" r:id="rId530" xr:uid="{00000000-0004-0000-0200-00004F020000}"/>
    <hyperlink ref="AA458" r:id="rId531" xr:uid="{00000000-0004-0000-0200-000050020000}"/>
    <hyperlink ref="AA531" r:id="rId532" xr:uid="{00000000-0004-0000-0200-000053020000}"/>
    <hyperlink ref="AA532" r:id="rId533" xr:uid="{00000000-0004-0000-0200-000054020000}"/>
    <hyperlink ref="AA562" r:id="rId534" xr:uid="{00000000-0004-0000-0200-000055020000}"/>
    <hyperlink ref="AA566" r:id="rId535" xr:uid="{00000000-0004-0000-0200-000056020000}"/>
    <hyperlink ref="AA567" r:id="rId536" xr:uid="{00000000-0004-0000-0200-000057020000}"/>
    <hyperlink ref="AA569" r:id="rId537" xr:uid="{00000000-0004-0000-0200-000058020000}"/>
    <hyperlink ref="AA576" r:id="rId538" xr:uid="{00000000-0004-0000-0200-000059020000}"/>
    <hyperlink ref="AA590" r:id="rId539" xr:uid="{00000000-0004-0000-0200-00005A020000}"/>
    <hyperlink ref="U141" r:id="rId540" xr:uid="{00000000-0004-0000-0200-00005B020000}"/>
    <hyperlink ref="AA610" r:id="rId541" xr:uid="{00000000-0004-0000-0200-00005D020000}"/>
    <hyperlink ref="AA611" r:id="rId542" xr:uid="{00000000-0004-0000-0200-00005E020000}"/>
    <hyperlink ref="AA623" r:id="rId543" xr:uid="{00000000-0004-0000-0200-00005F020000}"/>
    <hyperlink ref="AA617" r:id="rId544" xr:uid="{00000000-0004-0000-0200-000060020000}"/>
    <hyperlink ref="AA622" r:id="rId545" xr:uid="{00000000-0004-0000-0200-000062020000}"/>
    <hyperlink ref="V772" r:id="rId546" xr:uid="{00000000-0004-0000-0200-000065020000}"/>
    <hyperlink ref="U772" r:id="rId547" xr:uid="{00000000-0004-0000-0200-000066020000}"/>
    <hyperlink ref="U773" r:id="rId548" xr:uid="{00000000-0004-0000-0200-000067020000}"/>
    <hyperlink ref="V774" r:id="rId549" location=":~:text=Ukraine%3A%20EU%20announces%20new%20aid%20worth%20%E2%82%AC200%20million,Donors%E2%80%99%20Conference%20convened%20jointly%20by%20Poland%20and%20Sweden.?msclkid=2ab08ff4cf8811ec87c245022077fc10" display="https://euneighbourseast.eu/news-and-stories/latest-news/ukraine-eu-announces-new-aid-worth-e200-million-for-displaced-people/#:~:text=Ukraine%3A%20EU%20announces%20new%20aid%20worth%20%E2%82%AC200%20million,Donors%E2%80%99%20Conference%20convened%20jointly%20by%20Poland%20and%20Sweden.?msclkid=2ab08ff4cf8811ec87c245022077fc10" xr:uid="{00000000-0004-0000-0200-000068020000}"/>
    <hyperlink ref="U779" r:id="rId550" xr:uid="{00000000-0004-0000-0200-000069020000}"/>
    <hyperlink ref="U780" r:id="rId551" xr:uid="{00000000-0004-0000-0200-00006A020000}"/>
    <hyperlink ref="U781" r:id="rId552" xr:uid="{00000000-0004-0000-0200-00006B020000}"/>
    <hyperlink ref="V781" r:id="rId553" xr:uid="{00000000-0004-0000-0200-00006C020000}"/>
    <hyperlink ref="W781" r:id="rId554" location=":~:text=The%20European%20Union%20agreed%20on%20the%20third%20tranche,of%20military%20equipment%20to%20the%20Ukrainian%20Armed%20Forces" xr:uid="{00000000-0004-0000-0200-00006D020000}"/>
    <hyperlink ref="U774" r:id="rId555" xr:uid="{00000000-0004-0000-0200-00006E020000}"/>
    <hyperlink ref="U783" r:id="rId556" xr:uid="{00000000-0004-0000-0200-00006F020000}"/>
    <hyperlink ref="V783" r:id="rId557" xr:uid="{00000000-0004-0000-0200-000070020000}"/>
    <hyperlink ref="U784" r:id="rId558" xr:uid="{00000000-0004-0000-0200-000071020000}"/>
    <hyperlink ref="W783" r:id="rId559" xr:uid="{00000000-0004-0000-0200-000072020000}"/>
    <hyperlink ref="V773" r:id="rId560" xr:uid="{00000000-0004-0000-0200-000073020000}"/>
    <hyperlink ref="U776" r:id="rId561" xr:uid="{00000000-0004-0000-0200-000074020000}"/>
    <hyperlink ref="U777" r:id="rId562" xr:uid="{00000000-0004-0000-0200-000075020000}"/>
    <hyperlink ref="V777" r:id="rId563" location=":~:text=Ukraine%3A%20EU%20announces%20%E2%82%AC120%20million%20grant%20to%20support,preparedness%20and%20management%20at%20central%20and%20local%20levels.?msclkid=23e8a2ecd14011ec870c8ad62e34da3e" display="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 xr:uid="{00000000-0004-0000-0200-000076020000}"/>
    <hyperlink ref="U778" r:id="rId564" xr:uid="{00000000-0004-0000-0200-000077020000}"/>
    <hyperlink ref="V778" r:id="rId565" xr:uid="{00000000-0004-0000-0200-000078020000}"/>
    <hyperlink ref="W778" r:id="rId566" xr:uid="{00000000-0004-0000-0200-000079020000}"/>
    <hyperlink ref="V782" r:id="rId567" xr:uid="{00000000-0004-0000-0200-00007A020000}"/>
    <hyperlink ref="W782" r:id="rId568" xr:uid="{00000000-0004-0000-0200-00007B020000}"/>
    <hyperlink ref="U782" r:id="rId569" xr:uid="{00000000-0004-0000-0200-00007C020000}"/>
    <hyperlink ref="U771" r:id="rId570" location="eu-civil-protection-mechanism" xr:uid="{00000000-0004-0000-0200-00007D020000}"/>
    <hyperlink ref="AA30" r:id="rId571" xr:uid="{00000000-0004-0000-0200-00007E020000}"/>
    <hyperlink ref="AA31" r:id="rId572" xr:uid="{00000000-0004-0000-0200-00007F020000}"/>
    <hyperlink ref="AA32" r:id="rId573" xr:uid="{00000000-0004-0000-0200-000080020000}"/>
    <hyperlink ref="AA29" r:id="rId574" xr:uid="{00000000-0004-0000-0200-000081020000}"/>
    <hyperlink ref="AA40" r:id="rId575" xr:uid="{00000000-0004-0000-0200-000082020000}"/>
    <hyperlink ref="AA61" r:id="rId576" xr:uid="{00000000-0004-0000-0200-000083020000}"/>
    <hyperlink ref="AA62" r:id="rId577" xr:uid="{00000000-0004-0000-0200-000084020000}"/>
    <hyperlink ref="AA73" r:id="rId578" xr:uid="{00000000-0004-0000-0200-000085020000}"/>
    <hyperlink ref="AA74" r:id="rId579" xr:uid="{00000000-0004-0000-0200-000086020000}"/>
    <hyperlink ref="AA80" r:id="rId580" xr:uid="{00000000-0004-0000-0200-000087020000}"/>
    <hyperlink ref="AA93" r:id="rId581" xr:uid="{00000000-0004-0000-0200-000088020000}"/>
    <hyperlink ref="AA153" r:id="rId582" xr:uid="{00000000-0004-0000-0200-000089020000}"/>
    <hyperlink ref="AA152" r:id="rId583" xr:uid="{00000000-0004-0000-0200-00008A020000}"/>
    <hyperlink ref="AA321" r:id="rId584" xr:uid="{00000000-0004-0000-0200-00008B020000}"/>
    <hyperlink ref="V320:V322" r:id="rId585" display="https://www.ekathimerini.com/news/1179620/greek-role-within-nato-is-upgraded/" xr:uid="{00000000-0004-0000-0200-00008C020000}"/>
    <hyperlink ref="V323" r:id="rId586" display="https://www.republicworld.com/world-news/russia-ukraine-crisis/greece-delivered-unbelievable-amount-of-military-equipment-to-ukraine-report-articleshow.html+" xr:uid="{00000000-0004-0000-0200-00008D020000}"/>
    <hyperlink ref="W323:W330" r:id="rId587" display="https://twitter.com/visegrad24/status/1533567105110507521" xr:uid="{00000000-0004-0000-0200-00008E020000}"/>
    <hyperlink ref="U327" r:id="rId588" display="https://www.stripes.com/theaters/us/2022-05-23/ukraine-russia-war-military-weapons-6104132.html" xr:uid="{00000000-0004-0000-0200-00008F020000}"/>
    <hyperlink ref="W327" r:id="rId589" display="https://twitter.com/visegrad24/status/1504145180647170060?cxt=HHwWmIC58dGE5t8pAAAA" xr:uid="{00000000-0004-0000-0200-000090020000}"/>
    <hyperlink ref="V327" r:id="rId590" display="https://www.ekathimerini.com/news/1179620/greek-role-within-nato-is-upgraded/" xr:uid="{00000000-0004-0000-0200-000091020000}"/>
    <hyperlink ref="V323:V330" r:id="rId591" display="https://www.armyrecognition.com/defense_news_june_2022_global_security_army_industry/greece_to_donate_bmp-1p_tracked_armored_ifvs_to_ukraine_in_exchange_for_german_marder_1a3/1a5_ifvs.html" xr:uid="{00000000-0004-0000-0200-000092020000}"/>
    <hyperlink ref="V389:V394" r:id="rId592" display="https://twitter.com/edgarsrinkevics/status/1511694357560180745?ref_src=twsrc%5Etfw%7Ctwcamp%5Etweetembed%7Ctwterm%5E1511694357560180745%7Ctwgr%5E%7Ctwcon%5Es1_&amp;ref_url=https%3A%2F%2Fwww.redditmedia.com%2Fmediaembed%2Ftxqhaq%3Fresponsive%3Dtrueis_nightmode%3Dfalse" xr:uid="{00000000-0004-0000-0200-000093020000}"/>
    <hyperlink ref="AA389:AA394" r:id="rId593" display="https://twitter.com/edgarsrinkevics/status/1511694357560180745?ref_src=twsrc%5Etfw%7Ctwcamp%5Etweetembed%7Ctwterm%5E1511694357560180745%7Ctwgr%5E%7Ctwcon%5Es1_&amp;ref_url=https%3A%2F%2Fwww.redditmedia.com%2Fmediaembed%2Ftxqhaq%3Fresponsive%3Dtrueis_nightmode%3Dfalse" xr:uid="{00000000-0004-0000-0200-000094020000}"/>
    <hyperlink ref="U570:U571" r:id="rId594" display="https://www.reuters.com/world/europe/spain-deliver-anti-aircraft-missiles-tanks-ukraine-el-pais-2022-06-05/" xr:uid="{00000000-0004-0000-0200-000095020000}"/>
    <hyperlink ref="V570:V571" r:id="rId595" display="https://elpais.com/espana/2022-06-05/espana-dispuesta-a-entregar-a-ucrania-misiles-antiaereos-y-carros-de-combate-leopard.html" xr:uid="{00000000-0004-0000-0200-000096020000}"/>
    <hyperlink ref="W570:W571" r:id="rId596" display="https://www.faz.net/aktuell/politik/inland/spanien-erwaegt-lieferung-deutscher-kampfpanzer-an-die-ukraine-18084152.html" xr:uid="{00000000-0004-0000-0200-000097020000}"/>
    <hyperlink ref="U575" r:id="rId597" xr:uid="{00000000-0004-0000-0200-000098020000}"/>
    <hyperlink ref="V27" r:id="rId598" xr:uid="{00000000-0004-0000-0200-00009B020000}"/>
    <hyperlink ref="U27" r:id="rId599" xr:uid="{00000000-0004-0000-0200-00009C020000}"/>
    <hyperlink ref="U34" r:id="rId600" xr:uid="{00000000-0004-0000-0200-00009D020000}"/>
    <hyperlink ref="U40:U44" r:id="rId601" display="https://mil.in.ua/en/news/belgium-made-a-decision-to-hand-over-artillery-to-ukraine-the-media/" xr:uid="{00000000-0004-0000-0200-00009E020000}"/>
    <hyperlink ref="AA40:AA44" r:id="rId602" display="https://mil.in.ua/en/news/belgium-made-a-decision-to-hand-over-artillery-to-ukraine-the-media/" xr:uid="{00000000-0004-0000-0200-00009F020000}"/>
    <hyperlink ref="V46" r:id="rId603" xr:uid="{00000000-0004-0000-0200-0000A0020000}"/>
    <hyperlink ref="W46" r:id="rId604" xr:uid="{00000000-0004-0000-0200-0000A1020000}"/>
    <hyperlink ref="U46" r:id="rId605" xr:uid="{00000000-0004-0000-0200-0000A2020000}"/>
    <hyperlink ref="U48:U49" r:id="rId606" display="https://www.euractiv.com/section/politics/short_news/bulgaria-sends-helmets-to-ukrain%D0%B5/" xr:uid="{00000000-0004-0000-0200-0000A3020000}"/>
    <hyperlink ref="AA48:AA49" r:id="rId607" display="https://www.bta.bg/en/news/bulgaria/264039-ukrainian-experts-explore-opportunities-for-military-equipment-repairs-in-bulgar" xr:uid="{00000000-0004-0000-0200-0000A4020000}"/>
    <hyperlink ref="V48:V49" r:id="rId608" display="https://bnr.bg/en/post/101627966" xr:uid="{00000000-0004-0000-0200-0000A5020000}"/>
    <hyperlink ref="U98" r:id="rId609" xr:uid="{00000000-0004-0000-0200-0000A6020000}"/>
    <hyperlink ref="V98" r:id="rId610" xr:uid="{00000000-0004-0000-0200-0000A7020000}"/>
    <hyperlink ref="U339" r:id="rId611" xr:uid="{00000000-0004-0000-0200-0000A8020000}"/>
    <hyperlink ref="AA100:AA111" r:id="rId612" display="https://www.vlada.cz/cz/media-centrum/aktualne/vlada-schvalila-dalsi-dar-v-podobe-vojenskeho-materialu-ukrajine-194585/" xr:uid="{00000000-0004-0000-0200-0000A9020000}"/>
    <hyperlink ref="AA99" r:id="rId613" xr:uid="{00000000-0004-0000-0200-0000AA020000}"/>
    <hyperlink ref="U2" r:id="rId614" xr:uid="{00000000-0004-0000-0200-0000AB020000}"/>
    <hyperlink ref="V2" r:id="rId615" xr:uid="{00000000-0004-0000-0200-0000AC020000}"/>
    <hyperlink ref="AA112:AA117" r:id="rId616" display="https://www.rferl.org/a/czech-republic-poland-new-military-aid-ukraine/31873938.html" xr:uid="{00000000-0004-0000-0200-0000AD020000}"/>
    <hyperlink ref="AA119:AA120" r:id="rId617" display="Czech Republic, Poland Set New Rounds Of Military Aid To Ukraine (rferl.org)" xr:uid="{00000000-0004-0000-0200-0000AE020000}"/>
    <hyperlink ref="AA118" r:id="rId618" xr:uid="{00000000-0004-0000-0200-0000AF020000}"/>
    <hyperlink ref="AA121" r:id="rId619" xr:uid="{00000000-0004-0000-0200-0000B0020000}"/>
    <hyperlink ref="AA122" r:id="rId620" xr:uid="{00000000-0004-0000-0200-0000B1020000}"/>
    <hyperlink ref="AA123" r:id="rId621" xr:uid="{00000000-0004-0000-0200-0000B2020000}"/>
    <hyperlink ref="AA124" r:id="rId622" xr:uid="{00000000-0004-0000-0200-0000B3020000}"/>
    <hyperlink ref="AA126" r:id="rId623" xr:uid="{00000000-0004-0000-0200-0000B4020000}"/>
    <hyperlink ref="V5" r:id="rId624" xr:uid="{00000000-0004-0000-0200-0000B9020000}"/>
    <hyperlink ref="U6" r:id="rId625" xr:uid="{00000000-0004-0000-0200-0000BA020000}"/>
    <hyperlink ref="V6" r:id="rId626" xr:uid="{00000000-0004-0000-0200-0000BB020000}"/>
    <hyperlink ref="W6" r:id="rId627" xr:uid="{00000000-0004-0000-0200-0000BC020000}"/>
    <hyperlink ref="W7" r:id="rId628" xr:uid="{00000000-0004-0000-0200-0000BD020000}"/>
    <hyperlink ref="U13" r:id="rId629" xr:uid="{00000000-0004-0000-0200-0000BE020000}"/>
    <hyperlink ref="AA17:AA18" r:id="rId630" display="https://www.armyrecognition.com/defense_news_may_2022_global_security_army_industry/australia_announces_delivery_of_14_m113_tracked_apcs_and_20_bushmaster_armored_vehicles_to_ukraine.html" xr:uid="{00000000-0004-0000-0200-0000BF020000}"/>
    <hyperlink ref="AA13:AA14" r:id="rId631" display="https://www.armyrecognition.com/defense_news_may_2022_global_security_army_industry/australia_announces_delivery_of_14_m113_tracked_apcs_and_20_bushmaster_armored_vehicles_to_ukraine.html" xr:uid="{00000000-0004-0000-0200-0000C0020000}"/>
    <hyperlink ref="U7" r:id="rId632" xr:uid="{00000000-0004-0000-0200-0000C1020000}"/>
    <hyperlink ref="AA446:AA448" r:id="rId633" display="https://www.rnz.co.nz/news/national/464762/first-shipment-of-nz-defence-equipment-arrives-to-aid-ukraine" xr:uid="{00000000-0004-0000-0200-0000C2020000}"/>
    <hyperlink ref="AA461:AA467" r:id="rId634" display="https://www-forsvaret-no.translate.goog/aktuelt-og-presse/aktuelt/sender-militaerutstyr-og-vapen-til-ukraina?_x_tr_sl=auto&amp;_x_tr_tl=auto&amp;_x_tr_hl=de" xr:uid="{00000000-0004-0000-0200-0000C3020000}"/>
    <hyperlink ref="U519" r:id="rId635" xr:uid="{00000000-0004-0000-0200-0000C4020000}"/>
    <hyperlink ref="V519" r:id="rId636" xr:uid="{00000000-0004-0000-0200-0000C5020000}"/>
    <hyperlink ref="W519" r:id="rId637" xr:uid="{00000000-0004-0000-0200-0000C6020000}"/>
    <hyperlink ref="AA498" r:id="rId638" xr:uid="{00000000-0004-0000-0200-0000C8020000}"/>
    <hyperlink ref="V498" r:id="rId639" xr:uid="{00000000-0004-0000-0200-0000C9020000}"/>
    <hyperlink ref="U498" r:id="rId640" xr:uid="{00000000-0004-0000-0200-0000CA020000}"/>
    <hyperlink ref="V505" r:id="rId641" xr:uid="{00000000-0004-0000-0200-0000CB020000}"/>
    <hyperlink ref="U505" r:id="rId642" xr:uid="{00000000-0004-0000-0200-0000CC020000}"/>
    <hyperlink ref="W505" r:id="rId643" xr:uid="{00000000-0004-0000-0200-0000CD020000}"/>
    <hyperlink ref="V506" r:id="rId644" xr:uid="{00000000-0004-0000-0200-0000CE020000}"/>
    <hyperlink ref="U506" r:id="rId645" xr:uid="{00000000-0004-0000-0200-0000CF020000}"/>
    <hyperlink ref="V496" r:id="rId646" xr:uid="{00000000-0004-0000-0200-0000D0020000}"/>
    <hyperlink ref="U496" r:id="rId647" xr:uid="{00000000-0004-0000-0200-0000D1020000}"/>
    <hyperlink ref="U572" r:id="rId648" xr:uid="{00000000-0004-0000-0200-0000D2020000}"/>
    <hyperlink ref="U525" r:id="rId649" xr:uid="{00000000-0004-0000-0200-0000D3020000}"/>
    <hyperlink ref="W400" r:id="rId650" xr:uid="{00000000-0004-0000-0200-0000D4020000}"/>
    <hyperlink ref="U142:U143" r:id="rId651" display="https://english.radio.cz/czech-republic-sends-further-humanitarian-aid-ukraine-8752601" xr:uid="{00000000-0004-0000-0200-0000D5020000}"/>
    <hyperlink ref="AA142:AA143" r:id="rId652" display="https://english.radio.cz/czech-republic-sends-further-humanitarian-aid-ukraine-8752601" xr:uid="{00000000-0004-0000-0200-0000D6020000}"/>
    <hyperlink ref="AA163:AA181" r:id="rId653" display="https://www.ukrinform.net/rubric-polytics/3501933-estonia-has-provided-240m-in-military-aid-to-ukraine-korniyenko.html" xr:uid="{00000000-0004-0000-0200-0000D7020000}"/>
    <hyperlink ref="AA366" r:id="rId654" xr:uid="{00000000-0004-0000-0200-0000D8020000}"/>
    <hyperlink ref="AA614:AA615" r:id="rId655" display="https://www.forces.net/technology/weapons-and-kit/latest-military-aid-being-sent-ukraine-west" xr:uid="{00000000-0004-0000-0200-0000D9020000}"/>
    <hyperlink ref="AA675" r:id="rId656" xr:uid="{00000000-0004-0000-0200-0000DA020000}"/>
    <hyperlink ref="AA685" r:id="rId657" xr:uid="{00000000-0004-0000-0200-0000DB020000}"/>
    <hyperlink ref="AA671" r:id="rId658" xr:uid="{00000000-0004-0000-0200-0000DC020000}"/>
    <hyperlink ref="AA695:AA699" r:id="rId659" display="https://frontnews.eu/en/news/details/31081" xr:uid="{00000000-0004-0000-0200-0000DD020000}"/>
    <hyperlink ref="AA653:AA665" r:id="rId660" display="https://www.thedefensepost.com/2022/04/19/us-arms-arrive-ukraine/" xr:uid="{00000000-0004-0000-0200-0000E0020000}"/>
    <hyperlink ref="AA469:AA472" r:id="rId661" display="https://www-regjeringen-no.translate.goog/no/aktuelt/norge-har-donert-artilleriskyts-til-ukraina/id2917760/?_x_tr_sl=auto&amp;_x_tr_tl=auto&amp;_x_tr_hl=de" xr:uid="{00000000-0004-0000-0200-0000E1020000}"/>
    <hyperlink ref="U469:U472" r:id="rId662" display="https://www-regjeringen-no.translate.goog/no/aktuelt/norge-har-donert-artilleriskyts-til-ukraina/id2917760/?_x_tr_sl=auto&amp;_x_tr_tl=auto&amp;_x_tr_hl=de" xr:uid="{00000000-0004-0000-0200-0000E2020000}"/>
    <hyperlink ref="V469:V472" r:id="rId663" display="https://www.politico.eu/article/norway-ukraine-donates-howitzers/" xr:uid="{00000000-0004-0000-0200-0000E3020000}"/>
    <hyperlink ref="W469:W472" r:id="rId664" display="https://www.ukrinform.net/rubric-ato/3502204-norway-donates-22-m109-howitzers-to-ukraine.html" xr:uid="{00000000-0004-0000-0200-0000E4020000}"/>
    <hyperlink ref="AA527" r:id="rId665" xr:uid="{00000000-0004-0000-0200-0000E5020000}"/>
    <hyperlink ref="AA576:AA579" r:id="rId666" display="https://www.reuters.com/world/europe/sweden-provide-ukraine-with-5000-more-anti-tank-weapons-tt-news-agency-2022-03-23/" xr:uid="{00000000-0004-0000-0200-0000E6020000}"/>
    <hyperlink ref="AA581" r:id="rId667" xr:uid="{00000000-0004-0000-0200-0000E7020000}"/>
    <hyperlink ref="X570:X571" r:id="rId668" display="https://www.faz.net/aktuell/politik/waffen-fuer-die-ukraine-norwegen-liefert-haubitzen-18089553.html" xr:uid="{00000000-0004-0000-0200-0000E8020000}"/>
    <hyperlink ref="AA498:AA504" r:id="rId669" display="https://www.theportugalnews.com/news/2022-04-07/portugal-to-send-more-military-material-to-ukraine/66259" xr:uid="{00000000-0004-0000-0200-0000F1020000}"/>
    <hyperlink ref="U582:U584" r:id="rId670" display="https://www.government.se/press-releases/2022/06/additional-amending-budget-with-further-support-to-ukraine/" xr:uid="{00000000-0004-0000-0200-0000F3020000}"/>
    <hyperlink ref="U585" r:id="rId671" xr:uid="{00000000-0004-0000-0200-0000F4020000}"/>
    <hyperlink ref="U586" r:id="rId672" xr:uid="{00000000-0004-0000-0200-0000F5020000}"/>
    <hyperlink ref="V582:V584" r:id="rId673" display="https://twitter.com/AnnLinde/status/1532316643254226945?ref_src=twsrc%5Etfw%7Ctwcamp%5Etweetembed%7Ctwterm%5E1532316643254226945%7Ctwgr%5E%7Ctwcon%5Es1_&amp;ref_url=https%3A%2F%2Fmezha.media%2Fen%2F2022%2F06%2F03%2Frbs-17-swedish-short-range-anti-ship-missile%2F" xr:uid="{00000000-0004-0000-0200-0000F6020000}"/>
    <hyperlink ref="V585" r:id="rId674" display="https://twitter.com/AnnLinde/status/1532316643254226945?ref_src=twsrc%5Etfw%7Ctwcamp%5Etweetembed%7Ctwterm%5E1532316643254226945%7Ctwgr%5E%7Ctwcon%5Es1_&amp;ref_url=https%3A%2F%2Fmezha.media%2Fen%2F2022%2F06%2F03%2Frbs-17-swedish-short-range-anti-ship-missile%2F" xr:uid="{00000000-0004-0000-0200-0000F7020000}"/>
    <hyperlink ref="V586" r:id="rId675" display="https://twitter.com/AnnLinde/status/1532316643254226945?ref_src=twsrc%5Etfw%7Ctwcamp%5Etweetembed%7Ctwterm%5E1532316643254226945%7Ctwgr%5E%7Ctwcon%5Es1_&amp;ref_url=https%3A%2F%2Fmezha.media%2Fen%2F2022%2F06%2F03%2Frbs-17-swedish-short-range-anti-ship-missile%2F" xr:uid="{00000000-0004-0000-0200-0000F8020000}"/>
    <hyperlink ref="W582:W584" r:id="rId676" display="https://www.reuters.com/world/europe/sweden-supply-more-military-aid-including-anti-ship-missiles-ukraine-2022-06-02/" xr:uid="{00000000-0004-0000-0200-0000F9020000}"/>
    <hyperlink ref="W585" r:id="rId677" xr:uid="{00000000-0004-0000-0200-0000FA020000}"/>
    <hyperlink ref="W586" r:id="rId678" xr:uid="{00000000-0004-0000-0200-0000FB020000}"/>
    <hyperlink ref="V368:V370" r:id="rId679" display="https://mil.in.ua/en/news/the-netherlands-italy-and-belgium-have-agreed-to-transfer-the-additional-155-mm-caliber-acs-to-ukraine/" xr:uid="{00000000-0004-0000-0200-0000FC020000}"/>
    <hyperlink ref="U5" r:id="rId680" xr:uid="{00000000-0004-0000-0200-0000FF020000}"/>
    <hyperlink ref="W651" r:id="rId681" xr:uid="{00000000-0004-0000-0200-000001030000}"/>
    <hyperlink ref="W652" r:id="rId682" xr:uid="{00000000-0004-0000-0200-000002030000}"/>
    <hyperlink ref="V15:V16" r:id="rId683" display="https://www.abc.net.au/news/2022-02-27/australia-send-weapons-nato-ukraine-war-russia/100865712" xr:uid="{00000000-0004-0000-0200-000004030000}"/>
    <hyperlink ref="V135" r:id="rId684" xr:uid="{00000000-0004-0000-0200-000005030000}"/>
    <hyperlink ref="W135" r:id="rId685" xr:uid="{00000000-0004-0000-0200-000006030000}"/>
    <hyperlink ref="U135" r:id="rId686" xr:uid="{00000000-0004-0000-0200-000007030000}"/>
    <hyperlink ref="U225" r:id="rId687" xr:uid="{00000000-0004-0000-0200-000008030000}"/>
    <hyperlink ref="V225" r:id="rId688" xr:uid="{00000000-0004-0000-0200-000009030000}"/>
    <hyperlink ref="W225" r:id="rId689" xr:uid="{00000000-0004-0000-0200-00000A030000}"/>
    <hyperlink ref="X368:X370" r:id="rId690" display="https://www.ilmessaggero.it/mondo/armi_italia_ucraina_inviate_quali_sono_guerra_russia_ultime_notizie-6743279.html" xr:uid="{00000000-0004-0000-0200-00000B030000}"/>
    <hyperlink ref="AA688" r:id="rId691" xr:uid="{00000000-0004-0000-0200-00000C030000}"/>
    <hyperlink ref="V690:V693" r:id="rId692" display="https://www.defense.gov/News/Releases/Release/Article/3023667/pentagon-press-secretary-statement-on-150-million-in-additional-security-assist/" xr:uid="{00000000-0004-0000-0200-00000D030000}"/>
    <hyperlink ref="AA651" r:id="rId693" xr:uid="{00000000-0004-0000-0200-00000E030000}"/>
    <hyperlink ref="AA652" r:id="rId694" xr:uid="{00000000-0004-0000-0200-00000F030000}"/>
    <hyperlink ref="U625" r:id="rId695" xr:uid="{00000000-0004-0000-0200-000010030000}"/>
    <hyperlink ref="X323:X330" r:id="rId696" display="https://www.spiegel.de/politik/deutschland/scholz-kuendigt-panzer-ringtausch-mit-griechenland-an-a-9dd166da-edd2-426f-9873-9d48065f3e3a" xr:uid="{00000000-0004-0000-0200-000011030000}"/>
    <hyperlink ref="W40:W41" r:id="rId697" display="https://www.thebulletin.be/belgium-send-more-weapons-and-fuel-ukraine" xr:uid="{3FD1C3F2-88CC-4F22-994E-833E3D35AFC5}"/>
    <hyperlink ref="W42:W43" r:id="rId698" display="https://www.thebulletin.be/belgium-send-more-weapons-and-fuel-ukraine" xr:uid="{6A1EC587-09F5-4617-99D2-B674A94639C8}"/>
    <hyperlink ref="V91" r:id="rId699" xr:uid="{0EBE8147-EF86-4327-90BE-EE75D7A5A0D2}"/>
    <hyperlink ref="AA119" r:id="rId700" xr:uid="{DAC5F17F-16F6-4865-B4AA-FA8AEC2239B5}"/>
    <hyperlink ref="AA120" r:id="rId701" xr:uid="{AB284F3B-8CBE-4B34-BDF9-8D1585D4D487}"/>
    <hyperlink ref="U163:U181" r:id="rId702" location=":~:text=Estonian%20people%2C%20government%20and%20private,aid%20to%20Ukraine%20in%20total &amp;text=Govermental%20aid%20means%20means%20assistance,state%20budget%20through%20state%20agencies" display="https://vm.ee/en/humanitarian-aid-ukraine#:~:text=Estonian%20people%2C%20government%20and%20private,aid%20to%20Ukraine%20in%20total &amp;text=Govermental%20aid%20means%20means%20assistance,state%20budget%20through%20state%20agencies " xr:uid="{F2D5C178-22B5-4513-80D8-5C5CEDB75931}"/>
    <hyperlink ref="V163:V182" r:id="rId703" display="https://kaitseministeerium.ee/en/news/estonia-donated-missiles-anti-tank-weapon-system-javelin-ukraine" xr:uid="{30209ECC-5C4C-43F1-A828-9E6964212BB0}"/>
    <hyperlink ref="W163:W182" r:id="rId704" display="https://news.err.ee/1608589426/estonia-s-military-aid-to-ukraine-totals-230-million" xr:uid="{4117592F-8970-4F1D-BA77-862EDAF1CE84}"/>
    <hyperlink ref="X163:X182" r:id="rId705" display="https://news.err.ee/1608555886/estonia-s-220-million-military-aid-to-ukraine-substantially-diversified" xr:uid="{C497B537-15E5-4363-AC0A-19B0E2829E2E}"/>
    <hyperlink ref="AA163:AA182" r:id="rId706" display="https://www.ukrinform.net/rubric-polytics/3501933-estonia-has-provided-240m-in-military-aid-to-ukraine-korniyenko.html" xr:uid="{0ED82765-3DB1-4D5A-BA44-D85EE7253D3C}"/>
    <hyperlink ref="U182" r:id="rId707" xr:uid="{7AB863D4-EC07-46DD-AC76-BA7E94CA821C}"/>
    <hyperlink ref="U213:U218" r:id="rId708" display="https://www.diplomatie.gouv.fr/en/country-files/ukraine/news/article/ukraine-france-mobilizes-to-deliver-emergency-medical-aid-to-victims-of-the" xr:uid="{A28B0E03-1757-436E-A796-1E01D59B4BEA}"/>
    <hyperlink ref="V213:V218" r:id="rId709" display="https://www.lefigaro.fr/flash-actu/la-france-a-envoye-33-tonnes-d-aide-humanitaire-pour-l-ukraine-20220228" xr:uid="{D98911BA-F285-4A04-9281-EF97CC8DABF0}"/>
    <hyperlink ref="W213:W218" r:id="rId710" display="https://www.reuters.com/world/europe/france-offer-100-mln-euros-humanitarian-aid-ukraine-2022-03-01/" xr:uid="{C231D566-E275-4AE7-A0D9-90E494A476C3}"/>
    <hyperlink ref="U220:U224" r:id="rId711" display="https://ec.europa.eu/echo/news-stories/news/ukraine-eu-delivers-additional-assistance-rescue-vehicles-and-emergency-equipment-2022-03-25_de" xr:uid="{3EF65C73-5DDE-4938-97B6-4B7CE0A02907}"/>
    <hyperlink ref="U368:U370" r:id="rId712" display="https://www.gazzettaufficiale.it/atto/serie_generale/caricaDettaglioAtto/originario?atto.dataPubblicazioneGazzetta=2022-05-13&amp;atto.codiceRedazionale=22A02976&amp;elenco30giorni=false" xr:uid="{5DC9F148-DBE6-4FAD-93A5-8159955879EC}"/>
    <hyperlink ref="W368:W370" r:id="rId713" display="https://www.fanpage.it/politica/armi-allucraina-arriva-il-terzo-decreto-del-governo-lelenco-e-secretato-come-i-precedenti/" xr:uid="{E437D273-1902-4F39-A5E1-1CD9CA5149C5}"/>
    <hyperlink ref="V610" r:id="rId714" xr:uid="{EE4008DB-EB31-48B3-B759-DCB098AEB3A3}"/>
    <hyperlink ref="U616:U622" r:id="rId715" display="https://www.gov.uk/government/news/uk-to-bolster-defensive-aid-to-ukraine-with-new-100m-package" xr:uid="{D89A3045-F523-4E71-BBB4-15EDCD6B8AEB}"/>
    <hyperlink ref="V616:V622" r:id="rId716" display="https://www.gov.uk/government/speeches/pm-opening-remarks-at-press-conference-with-german-chancellor-olaf-scholz-8-april-2022" xr:uid="{5B2C7652-EF4C-4ADB-B000-A0AB532DBE04}"/>
    <hyperlink ref="W616:W622" r:id="rId717" display="https://www.gov.uk/government/news/prime-minister-pledges-uks-unwavering-support-to-ukraine-on-visit-to-kyiv-9-april-2022" xr:uid="{89BCAF52-0F8F-4C8A-AB94-A2AA253F29FB}"/>
    <hyperlink ref="V623:V624" r:id="rId718" display="https://edition.cnn.com/2022/04/09/europe/ukraine-uk-boris-johnson-intl-gbr/index.html" xr:uid="{582E3B87-77DE-4C5B-BF0B-5D70AEC0CFCD}"/>
    <hyperlink ref="U341" r:id="rId719" xr:uid="{C43DB0EF-CEC9-4CDF-BBAA-890A2C47D83C}"/>
    <hyperlink ref="U342:U344" r:id="rId720" display="https://www.youtube.com/watch?v=vzENx6dTpqY" xr:uid="{940F0084-AFAB-4919-A8E4-2AE8B2EDD1F0}"/>
    <hyperlink ref="U646" r:id="rId721" xr:uid="{BBAAA90C-AC01-494E-864E-87768E9BB7EA}"/>
    <hyperlink ref="U690:U693" r:id="rId722" display="https://www.whitehouse.gov/briefing-room/statements-releases/2022/05/06/statement-by-president-joe-biden-on-additional-security-assistance-to-ukraine/" xr:uid="{196761FA-4E26-4CA8-943A-4E700ADA41E5}"/>
    <hyperlink ref="X686:X689" r:id="rId723" display="https://nationalinterest.org/blog/buzz/us-phoenix-ghost-drones-are-helping-ukraine-take-fight-russia-202249" xr:uid="{74F8D168-3CCB-4AE8-B242-1A6E9656C1B6}"/>
    <hyperlink ref="U355" r:id="rId724" xr:uid="{E6B4F80B-7B63-4025-8318-7C2119F69AA0}"/>
    <hyperlink ref="U497" r:id="rId725" xr:uid="{A9BE259E-B1C4-43BA-892D-D52C464A0A2B}"/>
    <hyperlink ref="U509" r:id="rId726" xr:uid="{7F3678AB-1F20-4084-844F-8ACFF7C75EED}"/>
    <hyperlink ref="U510" r:id="rId727" xr:uid="{64EBD6BA-347B-418F-8554-10AEED92EEC5}"/>
    <hyperlink ref="U526" r:id="rId728" xr:uid="{EDB6A9FC-A83A-4405-A1AE-D6034425F132}"/>
    <hyperlink ref="U187" r:id="rId729" xr:uid="{FEC81805-B63C-4122-AE90-07A22B0000D0}"/>
    <hyperlink ref="U188:U190" r:id="rId730" display="https://intermin.fi/en/ukraine/civilian-assistance-to-ukraine" xr:uid="{62E18D8B-86C8-4752-8D4B-262E3FCC4DFB}"/>
    <hyperlink ref="U191" r:id="rId731" xr:uid="{060EEE90-CCD6-42DD-B7F4-9AC954FAF06D}"/>
    <hyperlink ref="U192" r:id="rId732" xr:uid="{8C8075E5-BAC8-43E2-9019-2697A76A260F}"/>
    <hyperlink ref="U193" r:id="rId733" xr:uid="{597FC536-3305-4F32-A15E-F98C2E819612}"/>
    <hyperlink ref="U194" r:id="rId734" xr:uid="{B56FD4F2-01E9-47E9-89E5-E1039721FB8A}"/>
    <hyperlink ref="U195" r:id="rId735" xr:uid="{0DAD6AC8-5BA2-497C-B387-06871323B087}"/>
    <hyperlink ref="U196" r:id="rId736" xr:uid="{5965A9AB-97CA-4B2F-9C7A-1576B8B0C34F}"/>
    <hyperlink ref="U197" r:id="rId737" xr:uid="{4DE70989-3BC9-42E3-8B28-5DE48123C0BB}"/>
    <hyperlink ref="U198" r:id="rId738" xr:uid="{F2D212D8-4B89-49D3-BD04-5D8F8696F7EB}"/>
    <hyperlink ref="U199" r:id="rId739" xr:uid="{E060D88B-1CCB-4C42-A856-0CD7C4A54FC5}"/>
    <hyperlink ref="X589" r:id="rId740" xr:uid="{114D27A3-21FC-430F-A648-97E78778F24E}"/>
    <hyperlink ref="W4" r:id="rId741" xr:uid="{00000000-0004-0000-0200-000003030000}"/>
    <hyperlink ref="U4" r:id="rId742" xr:uid="{00000000-0004-0000-0200-000000030000}"/>
    <hyperlink ref="V4" r:id="rId743" xr:uid="{00000000-0004-0000-0200-0000B8020000}"/>
    <hyperlink ref="W17" r:id="rId744" xr:uid="{34A83A8B-DD2E-482B-A5DD-D3544C403D53}"/>
    <hyperlink ref="X449" r:id="rId745" xr:uid="{76EB7831-A505-4285-989A-24028AA481A3}"/>
    <hyperlink ref="U454" r:id="rId746" xr:uid="{E2E0753D-D58A-44D0-8E37-375CFC6A1A47}"/>
    <hyperlink ref="U456" r:id="rId747" xr:uid="{22A94BDD-161C-45A5-911D-D0202ADA87A8}"/>
    <hyperlink ref="X469" r:id="rId748" xr:uid="{85841AA4-C7C7-4B9E-B2D8-7BBCD10948E1}"/>
    <hyperlink ref="U473" r:id="rId749" xr:uid="{668F913B-31D2-4B7A-8C2A-8387536477C7}"/>
    <hyperlink ref="U476" r:id="rId750" xr:uid="{5F48986E-A1B7-4453-9E67-1DBDB3D3E5DC}"/>
    <hyperlink ref="V476" r:id="rId751" xr:uid="{70E80B71-7CE7-4DDE-B107-4DF821FB22D8}"/>
    <hyperlink ref="U85" r:id="rId752" xr:uid="{42493023-024D-407F-9164-9AC7011A04C5}"/>
    <hyperlink ref="V85" r:id="rId753" display="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 xr:uid="{8F7B77A8-97D3-497F-8718-B5DAE76890A2}"/>
    <hyperlink ref="X159:X161" r:id="rId754" display="https://mil.in.ua/en/news/harpoon-what-is-known-about-danish-coastal-missile-systems/" xr:uid="{565FDB50-E006-4D21-82D8-C226EAD28A60}"/>
    <hyperlink ref="X401:X403" r:id="rId755" display="https://www.lrt.lt/en/news-in-english/19/1702318/lithuania-among-top-15-of-ukraine-s-military-donors-mp" xr:uid="{DD681400-1704-4BE0-A318-9F8336BDEB4D}"/>
    <hyperlink ref="U419" r:id="rId756" xr:uid="{00000000-0004-0000-0200-000050000000}"/>
    <hyperlink ref="U419:U433" r:id="rId757" display="https://english.defensie.nl/latest/news/2022/04/06/a-look-at-the-defence-news-28-march---3-april" xr:uid="{00000000-0004-0000-0200-00004C020000}"/>
    <hyperlink ref="V419" r:id="rId758" xr:uid="{00000000-0004-0000-0200-00004C000000}"/>
    <hyperlink ref="W419" r:id="rId759" xr:uid="{00000000-0004-0000-0200-00004D000000}"/>
    <hyperlink ref="X419" r:id="rId760" xr:uid="{00000000-0004-0000-0200-00004E000000}"/>
    <hyperlink ref="AA419" r:id="rId761" xr:uid="{00000000-0004-0000-0200-00004D020000}"/>
    <hyperlink ref="V427" r:id="rId762" xr:uid="{00000000-0004-0000-0200-000039000000}"/>
    <hyperlink ref="W427:W430" r:id="rId763" display="https://www.rijksoverheid.nl/documenten/kamerstukken/2022/02/27/kamerbrief-update-afgifte-vergunning-voor-de-export-van-militaire-goederen-aan-oekraine" xr:uid="{00000000-0004-0000-0200-0000C7020000}"/>
    <hyperlink ref="V431" r:id="rId764" xr:uid="{00000000-0004-0000-0200-00004F000000}"/>
    <hyperlink ref="W345" r:id="rId765" xr:uid="{FA438906-9755-4A2B-A00C-8A7F71AD33D4}"/>
    <hyperlink ref="V345" r:id="rId766" xr:uid="{D0A77350-0995-410E-925B-DC64DE045FBB}"/>
    <hyperlink ref="U356" r:id="rId767" location=":~:text=%E2%80%9CIreland%20is%20sending%20another%20significant,the%20wider%20coordinated%20EU%20effort." xr:uid="{038B059D-AF21-467D-8999-6BC2F94FA629}"/>
    <hyperlink ref="V356" r:id="rId768" xr:uid="{2C22F797-516A-49A6-A8E7-665B82AC910A}"/>
    <hyperlink ref="U17:U18" r:id="rId769" display="https://www.peterdutton.com.au/australia-to-provide-armoured-personnel-carriers-and-more-bushmasters-to-ukraine/" xr:uid="{BE68930A-2FE8-40B3-B1BE-A60B0F5F6B84}"/>
    <hyperlink ref="U775" r:id="rId770" xr:uid="{EFA8C998-A5A2-4BFC-B348-6EDD8977B2BB}"/>
    <hyperlink ref="U513" r:id="rId771" xr:uid="{CFAFF6C0-D612-4571-AA58-8ECC13E107DE}"/>
    <hyperlink ref="V513" r:id="rId772" xr:uid="{3612C645-8480-45B2-8AD3-A397459CF1F0}"/>
    <hyperlink ref="U87" r:id="rId773" xr:uid="{9988D085-6038-4738-97C0-2E9ABDCB8E88}"/>
    <hyperlink ref="U88" r:id="rId774" xr:uid="{B4639112-1730-4FFC-A237-22B8E0AD5940}"/>
    <hyperlink ref="X51" r:id="rId775" xr:uid="{7D898552-291E-4AC6-97AA-04799B9637F9}"/>
    <hyperlink ref="U127" r:id="rId776" location=":~:text=Ukrainian%20armoured%20vehicles%20will%20be%20repaired%20in%20the%20Czech%20Republic,-19.&amp;text=The%20Ministry%20of%20Defence%20of,the%20Czech%20Republic%20and%20Slovakia." display="https://www.czdefence.com/article/ukrainian-armoured-vehicles-will-be-repaired-in-the-czech-republic#:~:text=Ukrainian%20armoured%20vehicles%20will%20be%20repaired%20in%20the%20Czech%20Republic,-19.&amp;text=The%20Ministry%20of%20Defence%20of,the%20Czech%20Republic%20and%20Slovakia." xr:uid="{C3FFE815-F501-45A8-A226-7229FF0A549A}"/>
    <hyperlink ref="U128" r:id="rId777" xr:uid="{7FF3A778-B917-4921-8E90-8B14093276D8}"/>
    <hyperlink ref="V128" r:id="rId778" xr:uid="{5C6ECB53-5FB9-41FD-97D7-137320F75D45}"/>
    <hyperlink ref="W128" r:id="rId779" xr:uid="{4B857156-B391-4282-AD5C-97B57DB4350E}"/>
    <hyperlink ref="X128" r:id="rId780" xr:uid="{03A4EB2A-E638-4A14-92EA-98F3BC73A073}"/>
    <hyperlink ref="AA128" r:id="rId781" xr:uid="{B40E8A3A-5232-40A9-B9C8-C27DC3AAD54C}"/>
    <hyperlink ref="U130" r:id="rId782" xr:uid="{70954AC3-99D4-4C35-A626-FA1A24D1539A}"/>
    <hyperlink ref="U131" r:id="rId783" xr:uid="{0BD38934-B85C-4592-B790-A176439DF9B5}"/>
    <hyperlink ref="AA131" r:id="rId784" xr:uid="{77E8C78C-66EE-4CF7-9E46-9C21AAE6BA3B}"/>
    <hyperlink ref="AA132" r:id="rId785" xr:uid="{EBA26DFF-EBB8-49D5-88BD-A163885D3C12}"/>
    <hyperlink ref="U133" r:id="rId786" xr:uid="{4D7F305A-5494-43D2-A4B9-BE39F244662E}"/>
    <hyperlink ref="V133" r:id="rId787" xr:uid="{50204CFC-517D-41A6-ADCC-8B61747B8738}"/>
    <hyperlink ref="U134" r:id="rId788" xr:uid="{DC2E0D06-2497-4603-8235-BBBF8EE2A8A2}"/>
    <hyperlink ref="U53" r:id="rId789" location=":~:text=Canada%20will%20provide%20%24200%20million,administrative%20burden%20on%20Ukrainian%20officials" xr:uid="{E89BC3C8-1C09-4843-A046-56CD852D51D7}"/>
    <hyperlink ref="V53" r:id="rId790" xr:uid="{7745520E-F763-4751-ACE3-1BE1CDFDACB5}"/>
    <hyperlink ref="U58" r:id="rId791" location=":~:text=Canada%20will%20provide%20%24200%20million,administrative%20burden%20on%20Ukrainian%20officials" xr:uid="{01CFB9AC-BC71-42F9-A27B-1B8F030D564F}"/>
    <hyperlink ref="V58" r:id="rId792" xr:uid="{6CA16933-5996-4E4A-9788-7B705D9F1917}"/>
    <hyperlink ref="U59" r:id="rId793" location=":~:text=Canada%20will%20provide%20%24200%20million,administrative%20burden%20on%20Ukrainian%20officials" xr:uid="{D40C98DB-6FDD-4DA1-9320-0F3F4A01FED0}"/>
    <hyperlink ref="U60" r:id="rId794" location=":~:text=Canada%20will%20provide%20%24200%20million,administrative%20burden%20on%20Ukrainian%20officials" xr:uid="{10294135-DB68-4129-9B03-CD6456E3F152}"/>
    <hyperlink ref="U228" r:id="rId795" xr:uid="{2E078D08-7D29-4AF0-A465-9B187033E249}"/>
    <hyperlink ref="U229" r:id="rId796" xr:uid="{122B05EA-ECE3-4A0E-9055-0B705D4D64E0}"/>
    <hyperlink ref="U230" r:id="rId797" xr:uid="{B2682FFD-10B6-461E-805F-837C85988F08}"/>
    <hyperlink ref="U226" r:id="rId798" xr:uid="{6FD86CA0-FA31-4D0D-A372-ECC449A931F8}"/>
    <hyperlink ref="U79" r:id="rId799" xr:uid="{7423B3BB-7603-4310-93E6-3B6234044488}"/>
    <hyperlink ref="U80" r:id="rId800" xr:uid="{FD99AB7D-3239-4C7F-BB0A-B8214C905B6F}"/>
    <hyperlink ref="AA79" r:id="rId801" xr:uid="{BC8C50E4-137C-4F65-8F36-489BB9F1D2D7}"/>
    <hyperlink ref="U245" r:id="rId802" xr:uid="{BC830F39-5552-49A2-9615-849096E1FC59}"/>
    <hyperlink ref="V245" r:id="rId803" xr:uid="{32DD9EB4-6F1F-4717-8359-7A33BABF5558}"/>
    <hyperlink ref="W245" r:id="rId804" xr:uid="{83F09019-5B6E-471F-9A40-65752459F794}"/>
    <hyperlink ref="X245" r:id="rId805" xr:uid="{DD87F3DF-FD25-46C0-9509-D865D6309C83}"/>
    <hyperlink ref="AA245" r:id="rId806" xr:uid="{80C6EA75-06E3-4FE6-9997-CEC127B1D8C5}"/>
    <hyperlink ref="U296" r:id="rId807" xr:uid="{199DD89F-5CBC-476D-8C06-C78FC10F2562}"/>
    <hyperlink ref="V296" r:id="rId808" xr:uid="{6741A8A4-7ED3-4764-AAC1-4895A7CB3889}"/>
    <hyperlink ref="V297" r:id="rId809" xr:uid="{2454ADBD-E3EA-4958-9844-86F2EAE59EFA}"/>
    <hyperlink ref="W297" r:id="rId810" xr:uid="{6455A0BF-DDC5-4B14-AB88-20DF6E94B096}"/>
    <hyperlink ref="AA297" r:id="rId811" xr:uid="{FE32D301-EFEA-4707-BE57-35E9E4FDABDD}"/>
    <hyperlink ref="V298" r:id="rId812" xr:uid="{49965AF9-AF2E-442B-8E5C-E3E512B2D6FA}"/>
    <hyperlink ref="V299" r:id="rId813" xr:uid="{0C6AC016-C43D-42ED-B31F-7B9F0F1D39D2}"/>
    <hyperlink ref="AA310" r:id="rId814" xr:uid="{A9DE6B2B-94B7-4619-9B11-9D311DACED8C}"/>
    <hyperlink ref="AA311" r:id="rId815" xr:uid="{A0AF8218-7BDB-499C-8407-DF948EACC713}"/>
    <hyperlink ref="V79" r:id="rId816" xr:uid="{21EF0152-4883-494E-A6BC-5666E9C28F2F}"/>
    <hyperlink ref="W79" r:id="rId817" xr:uid="{4D9C2DA1-61DD-411A-AF70-68BBD653EC09}"/>
    <hyperlink ref="U481" r:id="rId818" xr:uid="{AB125D8B-940B-4F73-9B5C-640EBE5F2D42}"/>
    <hyperlink ref="U482" r:id="rId819" location=":~:text=Poland%20has%20sent%20at%20least,escalating%20fight%20for%20its%20east" xr:uid="{D9B2C611-9F78-4D40-9C5E-1FACBE4AF4B9}"/>
    <hyperlink ref="V482" r:id="rId820" xr:uid="{F3899F83-7E5F-471B-B754-2F0EBA1FD01E}"/>
    <hyperlink ref="W482" r:id="rId821" xr:uid="{0EF3F843-C141-4259-9818-B0B347BF6D97}"/>
    <hyperlink ref="X482" r:id="rId822" xr:uid="{F6EA2340-6F4A-4C1D-937F-B4B050CEC56C}"/>
    <hyperlink ref="AA482" r:id="rId823" xr:uid="{DB185AE3-2DDF-4BBF-AD22-08C60A08C884}"/>
    <hyperlink ref="AA483" r:id="rId824" xr:uid="{C0C84A81-39D8-4A11-9CD1-59F694FE5BF3}"/>
    <hyperlink ref="AA484" r:id="rId825" xr:uid="{24A82563-285C-4FF6-A997-F0504680737A}"/>
    <hyperlink ref="AA485" r:id="rId826" xr:uid="{047E84BB-FED6-4F89-A773-A1B51697F994}"/>
    <hyperlink ref="AA486" r:id="rId827" xr:uid="{A1B05BA1-F8A7-4750-9001-D9918467235A}"/>
    <hyperlink ref="AA487" r:id="rId828" xr:uid="{F11F4D65-866F-465E-A79D-0967500BF1D3}"/>
    <hyperlink ref="AA488" r:id="rId829" xr:uid="{3D001288-273C-40CE-955A-F29537B7F8C8}"/>
    <hyperlink ref="AA489" r:id="rId830" xr:uid="{12FE3F60-3185-4AF8-922B-39950670E846}"/>
    <hyperlink ref="AA490" r:id="rId831" xr:uid="{C6A18557-9009-43E6-9A2E-8642931ECDFC}"/>
    <hyperlink ref="AA491" r:id="rId832" xr:uid="{6BB319F6-79F5-428F-8958-E117A73B9E6E}"/>
    <hyperlink ref="U492" r:id="rId833" location=":~:text=%23Ukraine%3A%20Ukrainian%20forces%20started%20to,the%20front%20of%20the%20drone &amp;text=Warmate%20barrage%20ammunition%20was%20created,of%20Poland%20since%20autumn%202017" display="https://mezha.media/en/2022/04/25/the-warmate-uav-a-polish-alternative-to-the-switchblades-kamikaze-drone-already-in-ukraine/#:~:text=%23Ukraine%3A%20Ukrainian%20forces%20started%20to,the%20front%20of%20the%20drone &amp;text=Warmate%20barrage%20ammunition%20was%20created,of%20Poland%20since%20autumn%202017 " xr:uid="{80F7D608-2297-476B-ACD1-881C0C155807}"/>
    <hyperlink ref="AA492" r:id="rId834" xr:uid="{B60822D3-FFEA-41F7-A085-AC792B9636CE}"/>
    <hyperlink ref="U493" r:id="rId835" xr:uid="{8B7ABC53-1C2E-4D88-B718-5D46BD02D63F}"/>
    <hyperlink ref="AA493" r:id="rId836" xr:uid="{8B627027-91FF-469F-93AC-3D14D813150A}"/>
    <hyperlink ref="U536" r:id="rId837" xr:uid="{7308C655-3E8D-4B52-9C61-F1DF867F988B}"/>
    <hyperlink ref="V536" r:id="rId838" xr:uid="{AD2DC73D-73F4-4054-8404-D764D34B8CB4}"/>
    <hyperlink ref="W536" r:id="rId839" xr:uid="{733795A5-A635-44E9-A0D7-692971F1E02C}"/>
    <hyperlink ref="AA536" r:id="rId840" xr:uid="{D23E3D40-3117-4CEB-ACC0-789BE7006A18}"/>
    <hyperlink ref="U535" r:id="rId841" xr:uid="{31F9D973-FB15-46DC-B544-6C632E5BB593}"/>
    <hyperlink ref="U537:U538" r:id="rId842" location=":~:text=June%2016%2C%202022%2C%20at%202%3A26%20a.m.&amp;text=(Reuters)%20%2D%20Slovakia%20has%20donated,defence%20minister%20said%20on%20Thursday" display="https://www.usnews.com/news/world/articles/2022-06-16/slovaks-give-mi-helicopters-grad-rockets-to-ukraine#:~:text=June%2016%2C%202022%2C%20at%202%3A26%20a.m.&amp;text=(Reuters)%20%2D%20Slovakia%20has%20donated,defence%20minister%20said%20on%20Thursday." xr:uid="{D0DAF579-6268-4D09-9DE2-658CE296498A}"/>
    <hyperlink ref="U554" r:id="rId843" xr:uid="{B4C7DB6F-A4B6-49AE-ABE0-DFF12CF2DB7C}"/>
    <hyperlink ref="V554" r:id="rId844" xr:uid="{1F378901-72EB-41FA-9A97-F08DF8943333}"/>
    <hyperlink ref="W554" r:id="rId845" xr:uid="{39755147-80A0-4227-ACB5-CA7AAE8D52FB}"/>
    <hyperlink ref="X554" r:id="rId846" xr:uid="{F41FE344-D807-4509-8F15-E356B6E70E36}"/>
    <hyperlink ref="AA554" r:id="rId847" xr:uid="{EEAAD45A-7018-4626-A083-C63A8BBDAD8F}"/>
    <hyperlink ref="U597" r:id="rId848" xr:uid="{C8CDA3FB-9B98-4F7F-991E-517F61C0F478}"/>
    <hyperlink ref="U598" r:id="rId849" xr:uid="{BA68121A-C9D8-49AB-B0E2-5A04F8737092}"/>
    <hyperlink ref="U600" r:id="rId850" xr:uid="{CA0F0713-F5E3-4D84-9A1C-D4852C5609CC}"/>
    <hyperlink ref="U601" r:id="rId851" xr:uid="{BA5C837F-A023-41A8-9CE4-BC863A3C5B4C}"/>
    <hyperlink ref="U605" r:id="rId852" xr:uid="{6CC4F8F5-A788-42D3-A27B-32D34654A165}"/>
    <hyperlink ref="U626" r:id="rId853" xr:uid="{E3F3A1D6-1B70-4EC7-ABEE-8987CC8128A5}"/>
    <hyperlink ref="V626" r:id="rId854" xr:uid="{FFCA4D82-B200-4BD2-B485-68F975F71B28}"/>
    <hyperlink ref="U631" r:id="rId855" xr:uid="{EDE73FFA-2083-4B39-AFED-7172DD576B86}"/>
    <hyperlink ref="U632" r:id="rId856" xr:uid="{EA7C69FF-6F67-4B37-A17F-F98D6218B380}"/>
    <hyperlink ref="U634" r:id="rId857" xr:uid="{F68157B2-51AD-4744-9B67-91A1D8D27279}"/>
    <hyperlink ref="U700" r:id="rId858" xr:uid="{52B8002B-272E-4E58-9270-D5982F164F81}"/>
    <hyperlink ref="V700" r:id="rId859" xr:uid="{C1B6646A-841D-4304-9EB1-DCA228565CC7}"/>
    <hyperlink ref="U211" r:id="rId860" location="40d3246d" xr:uid="{C5BCA905-32AE-4DE8-A16F-3511D446CAEE}"/>
    <hyperlink ref="V396" r:id="rId861" xr:uid="{5C6EFF99-D4D1-4216-B43F-B7777B11595A}"/>
    <hyperlink ref="U712" r:id="rId862" xr:uid="{279A961A-7AF1-4A30-9E8B-C1E612241D35}"/>
    <hyperlink ref="V712" r:id="rId863" xr:uid="{AAAC2966-E5EE-45D1-8160-E807C374EC5E}"/>
    <hyperlink ref="W712" r:id="rId864" xr:uid="{4687C4D1-63A5-4C2E-A753-91FDF5715426}"/>
    <hyperlink ref="X712" r:id="rId865" xr:uid="{5A3F53EA-8D9C-4B60-AB68-F12E513FD54F}"/>
    <hyperlink ref="W713" r:id="rId866" xr:uid="{A99BAEEC-377D-4641-981F-AD758631098A}"/>
    <hyperlink ref="U723" r:id="rId867" xr:uid="{9034DBAD-02E0-40A5-ABFA-12090F0E81FC}"/>
    <hyperlink ref="V723" r:id="rId868" xr:uid="{45879063-C23D-49CD-8E3A-5BB9296A7C22}"/>
    <hyperlink ref="W723" r:id="rId869" xr:uid="{41743326-F0EB-4F15-8312-47140A256562}"/>
    <hyperlink ref="U737" r:id="rId870" location=":~:text=Through%20USAI%2C%20DoD%20will%20provide,repel%20Russia's%20war%20of%20choice" xr:uid="{B8051E59-9B91-4FC3-A021-BC3382C6A376}"/>
    <hyperlink ref="V737" r:id="rId871" xr:uid="{9D9187D7-6825-4EEF-A657-4304190C0F4F}"/>
    <hyperlink ref="W737" r:id="rId872" xr:uid="{22607877-C5D2-4888-A372-F66702A5E0C8}"/>
    <hyperlink ref="AA738" r:id="rId873" xr:uid="{30CF6BE2-38DC-417A-A9DB-826403CEC59B}"/>
    <hyperlink ref="AA739" r:id="rId874" xr:uid="{30BD11D2-738B-45E3-907B-85E036B77B92}"/>
    <hyperlink ref="AA740" r:id="rId875" xr:uid="{CC19AA90-C7B4-433F-908C-A16A4F807575}"/>
    <hyperlink ref="U752" r:id="rId876" xr:uid="{3E3F7CF7-52D2-4A00-B23E-4F08B9F67282}"/>
    <hyperlink ref="V752" r:id="rId877" xr:uid="{E5D2604D-AF9C-45CC-AFBF-756B20E8A71C}"/>
    <hyperlink ref="W752" r:id="rId878" xr:uid="{DE159681-F212-40CB-BA97-437AF46C7685}"/>
    <hyperlink ref="AA133" r:id="rId879" xr:uid="{3DBA21D5-089D-4B54-A7F3-202EFCA904CF}"/>
    <hyperlink ref="U759" r:id="rId880" xr:uid="{B1C23C9D-9E2F-40A5-83ED-BC66DAB6079A}"/>
    <hyperlink ref="V537:V538" r:id="rId881" display="https://kyivindependent.com/news-feed/slovakia-supplies-5-helicopters-ammunition-for-grad-multiple-rocket-launchers" xr:uid="{92FA2689-7CA3-4BD6-BA28-32AA734A6642}"/>
    <hyperlink ref="U603" r:id="rId882" xr:uid="{93DDBCD4-C591-44D7-A056-5792A265D48D}"/>
    <hyperlink ref="AA130" r:id="rId883" xr:uid="{7A1BCAD6-5103-4EDA-B0A9-20DB0F464DA1}"/>
    <hyperlink ref="AA129" r:id="rId884" xr:uid="{D1B95149-C69C-4D86-855F-87381D9CFDE1}"/>
    <hyperlink ref="V128:V129" r:id="rId885" display="https://echo24.cz/a/SrjYb/cesko-poslalo-na-ukrajinu-desitky-tanku-t-72-a-bvp" xr:uid="{560ABD3D-665F-4291-926A-F5831A79E321}"/>
    <hyperlink ref="W537:W538" r:id="rId886" display="https://kyivindependent.com/news-feed/slovakia-supplies-5-helicopters-ammunition-for-grad-multiple-rocket-launchers" xr:uid="{AF931560-99AD-4EA0-8441-8CF94367EB83}"/>
    <hyperlink ref="AA626" r:id="rId887" xr:uid="{C9928916-E995-4091-8859-F44DA1EEE875}"/>
    <hyperlink ref="U736" r:id="rId888" xr:uid="{C6ABC4C2-7D21-4C15-9FCF-F41D40192214}"/>
    <hyperlink ref="U756" r:id="rId889" xr:uid="{404F723C-0F56-4D61-AE4B-174F809F7441}"/>
    <hyperlink ref="AA712" r:id="rId890" location=":~:text=On%20June%2023%2C%20Ukraine's%20defense,one%20for%20some%20of%20them.%E2%80%9D" xr:uid="{044F536B-5755-489D-AE94-146980BDC2C9}"/>
    <hyperlink ref="AA720" r:id="rId891" xr:uid="{164C5A3F-8FD3-41F0-879F-7F7D1AF15AD6}"/>
    <hyperlink ref="AA690" r:id="rId892" xr:uid="{91AF45BA-08B5-465F-8F32-F11142C4F65C}"/>
    <hyperlink ref="U604" r:id="rId893" xr:uid="{B0409EE2-C180-47D9-B41F-6EB7A51603D7}"/>
  </hyperlinks>
  <pageMargins left="0.7" right="0.7" top="0.75" bottom="0.75" header="0.3" footer="0.3"/>
  <pageSetup paperSize="8" fitToWidth="0" fitToHeight="0" orientation="portrait" horizontalDpi="4294967293" r:id="rId89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D720-4DDD-4DF8-95D3-66518FD3DCD3}">
  <sheetPr>
    <tabColor rgb="FFF4B084"/>
  </sheetPr>
  <dimension ref="A1:W163"/>
  <sheetViews>
    <sheetView showGridLines="0" workbookViewId="0">
      <selection activeCell="F19" sqref="F19"/>
    </sheetView>
  </sheetViews>
  <sheetFormatPr defaultColWidth="8.875" defaultRowHeight="15"/>
  <cols>
    <col min="1" max="1" width="8.875" style="117"/>
    <col min="2" max="2" width="27.625" style="94" customWidth="1"/>
    <col min="3" max="3" width="11" style="131" bestFit="1" customWidth="1"/>
    <col min="4" max="4" width="10.5" style="94" bestFit="1" customWidth="1"/>
    <col min="5" max="5" width="12.5" style="94" bestFit="1" customWidth="1"/>
    <col min="6" max="7" width="10.5" style="94" bestFit="1" customWidth="1"/>
    <col min="8" max="9" width="10.125" style="94" customWidth="1"/>
    <col min="10" max="10" width="16.375" style="94" customWidth="1"/>
    <col min="11" max="16" width="8.875" style="94"/>
    <col min="17" max="17" width="8.875" style="124"/>
    <col min="18" max="16384" width="8.875" style="94"/>
  </cols>
  <sheetData>
    <row r="1" spans="1:23" s="109" customFormat="1">
      <c r="A1" s="511"/>
      <c r="B1" s="109" t="s">
        <v>2156</v>
      </c>
      <c r="C1" s="110" t="s">
        <v>2827</v>
      </c>
      <c r="D1" s="115" t="s">
        <v>2828</v>
      </c>
      <c r="E1" s="115" t="s">
        <v>2829</v>
      </c>
      <c r="F1" s="115" t="s">
        <v>2830</v>
      </c>
      <c r="G1" s="116" t="s">
        <v>2831</v>
      </c>
      <c r="H1" s="116" t="s">
        <v>2832</v>
      </c>
      <c r="I1" s="116" t="s">
        <v>2833</v>
      </c>
      <c r="J1" s="116" t="s">
        <v>2721</v>
      </c>
      <c r="K1" s="116"/>
      <c r="L1" s="116"/>
      <c r="M1" s="116"/>
      <c r="N1" s="116"/>
      <c r="O1" s="116"/>
    </row>
    <row r="2" spans="1:23" ht="15.75">
      <c r="B2" s="526" t="s">
        <v>1837</v>
      </c>
      <c r="C2" s="513">
        <f>SUMIFS('MAIN DATASET'!R:R,'MAIN DATASET'!B:B,'Aid over time, Top 5 donors'!B2,'MAIN DATASET'!C:C,"&gt;=1/1/2022",'MAIN DATASET'!C:C,"&lt;=1/31/2022")/1000000000</f>
        <v>0</v>
      </c>
      <c r="D2" s="94">
        <f>SUMIFS('MAIN DATASET'!R:R,'MAIN DATASET'!B:B,'Aid over time, Top 5 donors'!B2,'MAIN DATASET'!C:C,"&gt;=2/1/2022",'MAIN DATASET'!C:C,"&lt;=2/28/2022")/1000000000</f>
        <v>4.1231060606060606</v>
      </c>
      <c r="E2" s="94">
        <f>SUMIFS('MAIN DATASET'!R:R,'MAIN DATASET'!B:B,'Aid over time, Top 5 donors'!B2,'MAIN DATASET'!C:C,"&gt;=3/1/2022",'MAIN DATASET'!C:C,"&lt;=3/31/2022")/1000000000</f>
        <v>5.1374053030303024</v>
      </c>
      <c r="F2" s="94">
        <f>SUMIFS('MAIN DATASET'!R:R,'MAIN DATASET'!B:B,'Aid over time, Top 5 donors'!B2,'MAIN DATASET'!C:C,"&gt;=4/1/2022",'MAIN DATASET'!C:C,"&lt;=4/30/2022")/1000000000</f>
        <v>6.7366055125151512</v>
      </c>
      <c r="G2" s="512">
        <f>SUMIFS('MAIN DATASET'!R:R,'MAIN DATASET'!B:B,'Aid over time, Top 5 donors'!B2,'MAIN DATASET'!C:C,"&gt;=5/1/2022",'MAIN DATASET'!C:C,"&lt;=5/31/2022")/1000000000</f>
        <v>12.412878787878787</v>
      </c>
      <c r="H2" s="512">
        <f>SUMIFS('MAIN DATASET'!R:R,'MAIN DATASET'!B:B,'Aid over time, Top 5 donors'!B2,'MAIN DATASET'!C:C,"&gt;=6/1/2022",'MAIN DATASET'!C:C,"&lt;=6/30/2022")/1000000000</f>
        <v>10.416666666666666</v>
      </c>
      <c r="I2" s="512">
        <f>SUMIFS('MAIN DATASET'!R:R,'MAIN DATASET'!B:B,'Aid over time, Top 5 donors'!B2,'MAIN DATASET'!C:C,"&gt;=7/1/2022",'MAIN DATASET'!C:C,"&lt;=7/31/2022")/1000000000</f>
        <v>3.7878787878787876</v>
      </c>
      <c r="J2" s="513">
        <f t="shared" ref="J2:J16" si="0">SUM(C2:I2)</f>
        <v>42.614541118575758</v>
      </c>
      <c r="K2" s="512"/>
      <c r="L2" s="512"/>
      <c r="M2" s="512"/>
      <c r="N2" s="512"/>
      <c r="O2" s="512"/>
      <c r="Q2" s="517"/>
    </row>
    <row r="3" spans="1:23" ht="15.75">
      <c r="B3" s="526" t="s">
        <v>2015</v>
      </c>
      <c r="C3" s="513">
        <f>SUMIFS('MAIN DATASET'!R:R,'MAIN DATASET'!B:B,'Aid over time, Top 5 donors'!B3,'MAIN DATASET'!C:C,"&gt;=1/1/2022",'MAIN DATASET'!C:C,"&lt;=1/31/2022")/1000000000</f>
        <v>0</v>
      </c>
      <c r="D3" s="94">
        <f>SUMIFS('MAIN DATASET'!R:R,'MAIN DATASET'!B:B,'Aid over time, Top 5 donors'!B3,'MAIN DATASET'!C:C,"&gt;=2/1/2022",'MAIN DATASET'!C:C,"&lt;=2/28/2022")/1000000000</f>
        <v>1.2</v>
      </c>
      <c r="E3" s="94">
        <f>SUMIFS('MAIN DATASET'!R:R,'MAIN DATASET'!B:B,'Aid over time, Top 5 donors'!B3,'MAIN DATASET'!C:C,"&gt;=3/1/2022",'MAIN DATASET'!C:C,"&lt;=3/31/2022")/1000000000</f>
        <v>0.41499999999999998</v>
      </c>
      <c r="F3" s="94">
        <f>SUMIFS('MAIN DATASET'!R:R,'MAIN DATASET'!B:B,'Aid over time, Top 5 donors'!B3,'MAIN DATASET'!C:C,"&gt;=4/1/2022",'MAIN DATASET'!C:C,"&lt;=4/30/2022")/1000000000</f>
        <v>0.72</v>
      </c>
      <c r="G3" s="512">
        <f>SUMIFS('MAIN DATASET'!R:R,'MAIN DATASET'!B:B,'Aid over time, Top 5 donors'!B3,'MAIN DATASET'!C:C,"&gt;=5/1/2022",'MAIN DATASET'!C:C,"&lt;=5/31/2022")/1000000000</f>
        <v>9.1999999999999993</v>
      </c>
      <c r="H3" s="512">
        <f>SUMIFS('MAIN DATASET'!R:R,'MAIN DATASET'!B:B,'Aid over time, Top 5 donors'!B3,'MAIN DATASET'!C:C,"&gt;=6/1/2022",'MAIN DATASET'!C:C,"&lt;=6/30/2022")/1000000000</f>
        <v>0.20499999999999999</v>
      </c>
      <c r="I3" s="512">
        <f>SUMIFS('MAIN DATASET'!R:R,'MAIN DATASET'!B:B,'Aid over time, Top 5 donors'!B3,'MAIN DATASET'!C:C,"&gt;=7/1/2022",'MAIN DATASET'!C:C,"&lt;=7/31/2022")/1000000000</f>
        <v>0</v>
      </c>
      <c r="J3" s="513">
        <f t="shared" si="0"/>
        <v>11.74</v>
      </c>
      <c r="K3" s="512"/>
      <c r="L3" s="512"/>
      <c r="M3" s="512"/>
      <c r="N3" s="512"/>
      <c r="O3" s="512"/>
      <c r="Q3" s="517"/>
    </row>
    <row r="4" spans="1:23" ht="15.75">
      <c r="B4" s="526" t="s">
        <v>1741</v>
      </c>
      <c r="C4" s="513">
        <f>SUMIFS('MAIN DATASET'!R:R,'MAIN DATASET'!B:B,'Aid over time, Top 5 donors'!B4,'MAIN DATASET'!C:C,"&gt;=1/1/2022",'MAIN DATASET'!C:C,"&lt;=1/31/2022")/1000000000</f>
        <v>0</v>
      </c>
      <c r="D4" s="94">
        <f>SUMIFS('MAIN DATASET'!R:R,'MAIN DATASET'!B:B,'Aid over time, Top 5 donors'!B4,'MAIN DATASET'!C:C,"&gt;=2/1/2022",'MAIN DATASET'!C:C,"&lt;=2/28/2022")/1000000000</f>
        <v>0.79445179374810604</v>
      </c>
      <c r="E4" s="94">
        <f>SUMIFS('MAIN DATASET'!R:R,'MAIN DATASET'!B:B,'Aid over time, Top 5 donors'!B4,'MAIN DATASET'!C:C,"&gt;=3/1/2022",'MAIN DATASET'!C:C,"&lt;=3/31/2022")/1000000000</f>
        <v>0.93769953050399557</v>
      </c>
      <c r="F4" s="94">
        <f>SUMIFS('MAIN DATASET'!R:R,'MAIN DATASET'!B:B,'Aid over time, Top 5 donors'!B4,'MAIN DATASET'!C:C,"&gt;=4/1/2022",'MAIN DATASET'!C:C,"&lt;=4/30/2022")/1000000000</f>
        <v>1.4251946856146254</v>
      </c>
      <c r="G4" s="512">
        <f>SUMIFS('MAIN DATASET'!R:R,'MAIN DATASET'!B:B,'Aid over time, Top 5 donors'!B4,'MAIN DATASET'!C:C,"&gt;=5/1/2022",'MAIN DATASET'!C:C,"&lt;=5/31/2022")/1000000000</f>
        <v>1.5625353190404241</v>
      </c>
      <c r="H4" s="512">
        <f>SUMIFS('MAIN DATASET'!R:R,'MAIN DATASET'!B:B,'Aid over time, Top 5 donors'!B4,'MAIN DATASET'!C:C,"&gt;=6/1/2022",'MAIN DATASET'!C:C,"&lt;=6/30/2022")/1000000000</f>
        <v>1.3986340007925593</v>
      </c>
      <c r="I4" s="512">
        <f>SUMIFS('MAIN DATASET'!R:R,'MAIN DATASET'!B:B,'Aid over time, Top 5 donors'!B4,'MAIN DATASET'!C:C,"&gt;=7/1/2022",'MAIN DATASET'!C:C,"&lt;=7/31/2022")/1000000000</f>
        <v>0</v>
      </c>
      <c r="J4" s="513">
        <f t="shared" si="0"/>
        <v>6.1185153296997106</v>
      </c>
      <c r="K4" s="512"/>
      <c r="L4" s="512"/>
      <c r="M4" s="512"/>
      <c r="N4" s="512"/>
      <c r="O4" s="512"/>
      <c r="Q4" s="517"/>
      <c r="T4" s="997"/>
      <c r="U4" s="997"/>
      <c r="V4" s="997"/>
      <c r="W4" s="997"/>
    </row>
    <row r="5" spans="1:23" ht="15.75" customHeight="1">
      <c r="B5" s="526" t="s">
        <v>840</v>
      </c>
      <c r="C5" s="513">
        <f>SUMIFS('MAIN DATASET'!R:R,'MAIN DATASET'!B:B,'Aid over time, Top 5 donors'!B5,'MAIN DATASET'!C:C,"&gt;=1/1/2022",'MAIN DATASET'!C:C,"&lt;=1/31/2022")/1000000000</f>
        <v>0</v>
      </c>
      <c r="D5" s="94">
        <f>SUMIFS('MAIN DATASET'!R:R,'MAIN DATASET'!B:B,'Aid over time, Top 5 donors'!B5,'MAIN DATASET'!C:C,"&gt;=2/1/2022",'MAIN DATASET'!C:C,"&lt;=2/28/2022")/1000000000</f>
        <v>0</v>
      </c>
      <c r="E5" s="94">
        <f>SUMIFS('MAIN DATASET'!R:R,'MAIN DATASET'!B:B,'Aid over time, Top 5 donors'!B5,'MAIN DATASET'!C:C,"&gt;=3/1/2022",'MAIN DATASET'!C:C,"&lt;=3/31/2022")/1000000000</f>
        <v>0</v>
      </c>
      <c r="F5" s="94">
        <f>SUMIFS('MAIN DATASET'!R:R,'MAIN DATASET'!B:B,'Aid over time, Top 5 donors'!B5,'MAIN DATASET'!C:C,"&gt;=4/1/2022",'MAIN DATASET'!C:C,"&lt;=4/30/2022")/1000000000</f>
        <v>1.64</v>
      </c>
      <c r="G5" s="512">
        <f>SUMIFS('MAIN DATASET'!R:R,'MAIN DATASET'!B:B,'Aid over time, Top 5 donors'!B5,'MAIN DATASET'!C:C,"&gt;=5/1/2022",'MAIN DATASET'!C:C,"&lt;=5/31/2022")/1000000000</f>
        <v>1.2749999999999999</v>
      </c>
      <c r="H5" s="512">
        <f>SUMIFS('MAIN DATASET'!R:R,'MAIN DATASET'!B:B,'Aid over time, Top 5 donors'!B5,'MAIN DATASET'!C:C,"&gt;=6/1/2022",'MAIN DATASET'!C:C,"&lt;=6/30/2022")/1000000000</f>
        <v>0</v>
      </c>
      <c r="I5" s="512">
        <f>SUMIFS('MAIN DATASET'!R:R,'MAIN DATASET'!B:B,'Aid over time, Top 5 donors'!B5,'MAIN DATASET'!C:C,"&gt;=7/1/2022",'MAIN DATASET'!C:C,"&lt;=7/31/2022")/1000000000</f>
        <v>0.23952905719696968</v>
      </c>
      <c r="J5" s="513">
        <f t="shared" si="0"/>
        <v>3.1545290571969695</v>
      </c>
      <c r="K5" s="512"/>
      <c r="L5" s="512"/>
      <c r="M5" s="512"/>
      <c r="N5" s="512"/>
      <c r="O5" s="512"/>
      <c r="Q5" s="517"/>
      <c r="T5" s="997"/>
      <c r="U5" s="997"/>
      <c r="V5" s="997"/>
      <c r="W5" s="997"/>
    </row>
    <row r="6" spans="1:23" ht="15.75">
      <c r="B6" s="526" t="s">
        <v>350</v>
      </c>
      <c r="C6" s="513">
        <f>SUMIFS('MAIN DATASET'!R:R,'MAIN DATASET'!B:B,'Aid over time, Top 5 donors'!B6,'MAIN DATASET'!C:C,"&gt;=1/1/2022",'MAIN DATASET'!C:C,"&lt;=1/31/2022")/1000000000</f>
        <v>0.28814185445142226</v>
      </c>
      <c r="D6" s="94">
        <f>SUMIFS('MAIN DATASET'!R:R,'MAIN DATASET'!B:B,'Aid over time, Top 5 donors'!B6,'MAIN DATASET'!C:C,"&gt;=2/1/2022",'MAIN DATASET'!C:C,"&lt;=2/28/2022")/1000000000</f>
        <v>0.40391716369457403</v>
      </c>
      <c r="E6" s="94">
        <f>SUMIFS('MAIN DATASET'!R:R,'MAIN DATASET'!B:B,'Aid over time, Top 5 donors'!B6,'MAIN DATASET'!C:C,"&gt;=3/1/2022",'MAIN DATASET'!C:C,"&lt;=3/31/2022")/1000000000</f>
        <v>8.3492090686603751E-2</v>
      </c>
      <c r="F6" s="94">
        <f>SUMIFS('MAIN DATASET'!R:R,'MAIN DATASET'!B:B,'Aid over time, Top 5 donors'!B6,'MAIN DATASET'!C:C,"&gt;=4/1/2022",'MAIN DATASET'!C:C,"&lt;=4/30/2022")/1000000000</f>
        <v>1.2017037618519888</v>
      </c>
      <c r="G6" s="512">
        <f>SUMIFS('MAIN DATASET'!R:R,'MAIN DATASET'!B:B,'Aid over time, Top 5 donors'!B6,'MAIN DATASET'!C:C,"&gt;=5/1/2022",'MAIN DATASET'!C:C,"&lt;=5/31/2022")/1000000000</f>
        <v>0.22312523088289618</v>
      </c>
      <c r="H6" s="512">
        <f>SUMIFS('MAIN DATASET'!R:R,'MAIN DATASET'!B:B,'Aid over time, Top 5 donors'!B6,'MAIN DATASET'!C:C,"&gt;=6/1/2022",'MAIN DATASET'!C:C,"&lt;=6/30/2022")/1000000000</f>
        <v>0.40989291159684904</v>
      </c>
      <c r="I6" s="512">
        <f>SUMIFS('MAIN DATASET'!R:R,'MAIN DATASET'!B:B,'Aid over time, Top 5 donors'!B6,'MAIN DATASET'!C:C,"&gt;=7/1/2022",'MAIN DATASET'!C:C,"&lt;=7/31/2022")/1000000000</f>
        <v>0</v>
      </c>
      <c r="J6" s="513">
        <f t="shared" si="0"/>
        <v>2.6102730131643339</v>
      </c>
      <c r="K6" s="512"/>
      <c r="L6" s="512"/>
      <c r="M6" s="512"/>
      <c r="N6" s="512"/>
      <c r="O6" s="512"/>
      <c r="Q6" s="517"/>
      <c r="T6" s="997"/>
      <c r="U6" s="997"/>
      <c r="V6" s="997"/>
      <c r="W6" s="997"/>
    </row>
    <row r="7" spans="1:23" ht="15.75">
      <c r="B7" s="526" t="s">
        <v>763</v>
      </c>
      <c r="C7" s="513">
        <f>SUMIFS('MAIN DATASET'!R:R,'MAIN DATASET'!B:B,'Aid over time, Top 5 donors'!B7,'MAIN DATASET'!C:C,"&gt;=1/1/2022",'MAIN DATASET'!C:C,"&lt;=1/31/2022")/1000000000</f>
        <v>0</v>
      </c>
      <c r="D7" s="94">
        <f>SUMIFS('MAIN DATASET'!R:R,'MAIN DATASET'!B:B,'Aid over time, Top 5 donors'!B7,'MAIN DATASET'!C:C,"&gt;=2/1/2022",'MAIN DATASET'!C:C,"&lt;=2/28/2022")/1000000000</f>
        <v>1.5</v>
      </c>
      <c r="E7" s="94">
        <f>SUMIFS('MAIN DATASET'!R:R,'MAIN DATASET'!B:B,'Aid over time, Top 5 donors'!B7,'MAIN DATASET'!C:C,"&gt;=3/1/2022",'MAIN DATASET'!C:C,"&lt;=3/31/2022")/1000000000</f>
        <v>0.11506628787878788</v>
      </c>
      <c r="F7" s="94">
        <f>SUMIFS('MAIN DATASET'!R:R,'MAIN DATASET'!B:B,'Aid over time, Top 5 donors'!B7,'MAIN DATASET'!C:C,"&gt;=4/1/2022",'MAIN DATASET'!C:C,"&lt;=4/30/2022")/1000000000</f>
        <v>6.276515151515151E-2</v>
      </c>
      <c r="G7" s="512">
        <f>SUMIFS('MAIN DATASET'!R:R,'MAIN DATASET'!B:B,'Aid over time, Top 5 donors'!B7,'MAIN DATASET'!C:C,"&gt;=5/1/2022",'MAIN DATASET'!C:C,"&lt;=5/31/2022")/1000000000</f>
        <v>0.30249999999999999</v>
      </c>
      <c r="H7" s="512">
        <f>SUMIFS('MAIN DATASET'!R:R,'MAIN DATASET'!B:B,'Aid over time, Top 5 donors'!B7,'MAIN DATASET'!C:C,"&gt;=6/1/2022",'MAIN DATASET'!C:C,"&lt;=6/30/2022")/1000000000</f>
        <v>0</v>
      </c>
      <c r="I7" s="512">
        <f>SUMIFS('MAIN DATASET'!R:R,'MAIN DATASET'!B:B,'Aid over time, Top 5 donors'!B7,'MAIN DATASET'!C:C,"&gt;=7/1/2022",'MAIN DATASET'!C:C,"&lt;=7/31/2022")/1000000000</f>
        <v>0</v>
      </c>
      <c r="J7" s="513">
        <f t="shared" si="0"/>
        <v>1.9803314393939393</v>
      </c>
      <c r="K7" s="512"/>
      <c r="L7" s="512"/>
      <c r="M7" s="512"/>
      <c r="N7" s="512"/>
      <c r="O7" s="512"/>
      <c r="Q7" s="517"/>
      <c r="T7" s="997"/>
      <c r="U7" s="997"/>
      <c r="V7" s="997"/>
      <c r="W7" s="997"/>
    </row>
    <row r="8" spans="1:23" ht="15.75" customHeight="1">
      <c r="B8" s="526" t="s">
        <v>1364</v>
      </c>
      <c r="C8" s="513">
        <f>SUMIFS('MAIN DATASET'!R:R,'MAIN DATASET'!B:B,'Aid over time, Top 5 donors'!B8,'MAIN DATASET'!C:C,"&gt;=1/1/2022",'MAIN DATASET'!C:C,"&lt;=1/31/2022")/1000000000</f>
        <v>0</v>
      </c>
      <c r="D8" s="94">
        <f>SUMIFS('MAIN DATASET'!R:R,'MAIN DATASET'!B:B,'Aid over time, Top 5 donors'!B8,'MAIN DATASET'!C:C,"&gt;=2/1/2022",'MAIN DATASET'!C:C,"&lt;=2/28/2022")/1000000000</f>
        <v>0.94696969696969691</v>
      </c>
      <c r="E8" s="94">
        <f>SUMIFS('MAIN DATASET'!R:R,'MAIN DATASET'!B:B,'Aid over time, Top 5 donors'!B8,'MAIN DATASET'!C:C,"&gt;=3/1/2022",'MAIN DATASET'!C:C,"&lt;=3/31/2022")/1000000000</f>
        <v>6.4514741618459824E-3</v>
      </c>
      <c r="F8" s="94">
        <f>SUMIFS('MAIN DATASET'!R:R,'MAIN DATASET'!B:B,'Aid over time, Top 5 donors'!B8,'MAIN DATASET'!C:C,"&gt;=4/1/2022",'MAIN DATASET'!C:C,"&lt;=4/30/2022")/1000000000</f>
        <v>2.840909090909091E-3</v>
      </c>
      <c r="G8" s="512">
        <f>SUMIFS('MAIN DATASET'!R:R,'MAIN DATASET'!B:B,'Aid over time, Top 5 donors'!B8,'MAIN DATASET'!C:C,"&gt;=5/1/2022",'MAIN DATASET'!C:C,"&lt;=5/31/2022")/1000000000</f>
        <v>0.1</v>
      </c>
      <c r="H8" s="512">
        <f>SUMIFS('MAIN DATASET'!R:R,'MAIN DATASET'!B:B,'Aid over time, Top 5 donors'!B8,'MAIN DATASET'!C:C,"&gt;=6/1/2022",'MAIN DATASET'!C:C,"&lt;=6/30/2022")/1000000000</f>
        <v>0</v>
      </c>
      <c r="I8" s="512">
        <f>SUMIFS('MAIN DATASET'!R:R,'MAIN DATASET'!B:B,'Aid over time, Top 5 donors'!B8,'MAIN DATASET'!C:C,"&gt;=7/1/2022",'MAIN DATASET'!C:C,"&lt;=7/31/2022")/1000000000</f>
        <v>0</v>
      </c>
      <c r="J8" s="513">
        <f t="shared" si="0"/>
        <v>1.056262080222452</v>
      </c>
      <c r="K8" s="512"/>
      <c r="L8" s="512"/>
      <c r="M8" s="512"/>
      <c r="N8" s="512"/>
      <c r="O8" s="512"/>
      <c r="Q8" s="517"/>
    </row>
    <row r="9" spans="1:23" ht="15.75">
      <c r="B9" s="526" t="s">
        <v>1080</v>
      </c>
      <c r="C9" s="513">
        <f>SUMIFS('MAIN DATASET'!R:R,'MAIN DATASET'!B:B,'Aid over time, Top 5 donors'!B9,'MAIN DATASET'!C:C,"&gt;=1/1/2022",'MAIN DATASET'!C:C,"&lt;=1/31/2022")/1000000000</f>
        <v>0</v>
      </c>
      <c r="D9" s="94">
        <f>SUMIFS('MAIN DATASET'!R:R,'MAIN DATASET'!B:B,'Aid over time, Top 5 donors'!B9,'MAIN DATASET'!C:C,"&gt;=2/1/2022",'MAIN DATASET'!C:C,"&lt;=2/28/2022")/1000000000</f>
        <v>0</v>
      </c>
      <c r="E9" s="94">
        <f>SUMIFS('MAIN DATASET'!R:R,'MAIN DATASET'!B:B,'Aid over time, Top 5 donors'!B9,'MAIN DATASET'!C:C,"&gt;=3/1/2022",'MAIN DATASET'!C:C,"&lt;=3/31/2022")/1000000000</f>
        <v>9.4696969696969682E-2</v>
      </c>
      <c r="F9" s="94">
        <f>SUMIFS('MAIN DATASET'!R:R,'MAIN DATASET'!B:B,'Aid over time, Top 5 donors'!B9,'MAIN DATASET'!C:C,"&gt;=4/1/2022",'MAIN DATASET'!C:C,"&lt;=4/30/2022")/1000000000</f>
        <v>0.19157196969696969</v>
      </c>
      <c r="G9" s="512">
        <f>SUMIFS('MAIN DATASET'!R:R,'MAIN DATASET'!B:B,'Aid over time, Top 5 donors'!B9,'MAIN DATASET'!C:C,"&gt;=5/1/2022",'MAIN DATASET'!C:C,"&lt;=5/31/2022")/1000000000</f>
        <v>0.28566287878787877</v>
      </c>
      <c r="H9" s="512">
        <f>SUMIFS('MAIN DATASET'!R:R,'MAIN DATASET'!B:B,'Aid over time, Top 5 donors'!B9,'MAIN DATASET'!C:C,"&gt;=6/1/2022",'MAIN DATASET'!C:C,"&lt;=6/30/2022")/1000000000</f>
        <v>9.4696969696969682E-2</v>
      </c>
      <c r="I9" s="512">
        <f>SUMIFS('MAIN DATASET'!R:R,'MAIN DATASET'!B:B,'Aid over time, Top 5 donors'!B9,'MAIN DATASET'!C:C,"&gt;=7/1/2022",'MAIN DATASET'!C:C,"&lt;=7/31/2022")/1000000000</f>
        <v>0</v>
      </c>
      <c r="J9" s="513">
        <f t="shared" si="0"/>
        <v>0.66662878787878788</v>
      </c>
      <c r="K9" s="512"/>
      <c r="L9" s="512"/>
      <c r="M9" s="512"/>
      <c r="N9" s="512"/>
      <c r="O9" s="512"/>
      <c r="Q9" s="517"/>
    </row>
    <row r="10" spans="1:23" ht="15.75">
      <c r="B10" s="526" t="s">
        <v>1036</v>
      </c>
      <c r="C10" s="513">
        <f>SUMIFS('MAIN DATASET'!R:R,'MAIN DATASET'!B:B,'Aid over time, Top 5 donors'!B10,'MAIN DATASET'!C:C,"&gt;=1/1/2022",'MAIN DATASET'!C:C,"&lt;=1/31/2022")/1000000000</f>
        <v>0</v>
      </c>
      <c r="D10" s="94">
        <f>SUMIFS('MAIN DATASET'!R:R,'MAIN DATASET'!B:B,'Aid over time, Top 5 donors'!B10,'MAIN DATASET'!C:C,"&gt;=2/1/2022",'MAIN DATASET'!C:C,"&lt;=2/28/2022")/1000000000</f>
        <v>0.26100000000000001</v>
      </c>
      <c r="E10" s="94">
        <f>SUMIFS('MAIN DATASET'!R:R,'MAIN DATASET'!B:B,'Aid over time, Top 5 donors'!B10,'MAIN DATASET'!C:C,"&gt;=3/1/2022",'MAIN DATASET'!C:C,"&lt;=3/31/2022")/1000000000</f>
        <v>5.1846448863636357E-3</v>
      </c>
      <c r="F10" s="94">
        <f>SUMIFS('MAIN DATASET'!R:R,'MAIN DATASET'!B:B,'Aid over time, Top 5 donors'!B10,'MAIN DATASET'!C:C,"&gt;=4/1/2022",'MAIN DATASET'!C:C,"&lt;=4/30/2022")/1000000000</f>
        <v>0.22452272727272729</v>
      </c>
      <c r="G10" s="512">
        <f>SUMIFS('MAIN DATASET'!R:R,'MAIN DATASET'!B:B,'Aid over time, Top 5 donors'!B10,'MAIN DATASET'!C:C,"&gt;=5/1/2022",'MAIN DATASET'!C:C,"&lt;=5/31/2022")/1000000000</f>
        <v>0</v>
      </c>
      <c r="H10" s="512">
        <f>SUMIFS('MAIN DATASET'!R:R,'MAIN DATASET'!B:B,'Aid over time, Top 5 donors'!B10,'MAIN DATASET'!C:C,"&gt;=6/1/2022",'MAIN DATASET'!C:C,"&lt;=6/30/2022")/1000000000</f>
        <v>0</v>
      </c>
      <c r="I10" s="512">
        <f>SUMIFS('MAIN DATASET'!R:R,'MAIN DATASET'!B:B,'Aid over time, Top 5 donors'!B10,'MAIN DATASET'!C:C,"&gt;=7/1/2022",'MAIN DATASET'!C:C,"&lt;=7/31/2022")/1000000000</f>
        <v>0</v>
      </c>
      <c r="J10" s="513">
        <f t="shared" si="0"/>
        <v>0.49070737215909088</v>
      </c>
      <c r="K10" s="512"/>
      <c r="L10" s="512"/>
      <c r="M10" s="512"/>
      <c r="N10" s="512"/>
      <c r="O10" s="512"/>
      <c r="Q10" s="517"/>
    </row>
    <row r="11" spans="1:23" ht="15.75">
      <c r="B11" s="526" t="s">
        <v>1645</v>
      </c>
      <c r="C11" s="513">
        <f>SUMIFS('MAIN DATASET'!R:R,'MAIN DATASET'!B:B,'Aid over time, Top 5 donors'!B11,'MAIN DATASET'!C:C,"&gt;=1/1/2022",'MAIN DATASET'!C:C,"&lt;=1/31/2022")/1000000000</f>
        <v>0</v>
      </c>
      <c r="D11" s="94">
        <f>SUMIFS('MAIN DATASET'!R:R,'MAIN DATASET'!B:B,'Aid over time, Top 5 donors'!B11,'MAIN DATASET'!C:C,"&gt;=2/1/2022",'MAIN DATASET'!C:C,"&lt;=2/28/2022")/1000000000</f>
        <v>8.4840029411210188E-2</v>
      </c>
      <c r="E11" s="94">
        <f>SUMIFS('MAIN DATASET'!R:R,'MAIN DATASET'!B:B,'Aid over time, Top 5 donors'!B11,'MAIN DATASET'!C:C,"&gt;=3/1/2022",'MAIN DATASET'!C:C,"&lt;=3/31/2022")/1000000000</f>
        <v>6.0132575757575753E-2</v>
      </c>
      <c r="F11" s="94">
        <f>SUMIFS('MAIN DATASET'!R:R,'MAIN DATASET'!B:B,'Aid over time, Top 5 donors'!B11,'MAIN DATASET'!C:C,"&gt;=4/1/2022",'MAIN DATASET'!C:C,"&lt;=4/30/2022")/1000000000</f>
        <v>4.3999999999999997E-2</v>
      </c>
      <c r="G11" s="512">
        <f>SUMIFS('MAIN DATASET'!R:R,'MAIN DATASET'!B:B,'Aid over time, Top 5 donors'!B11,'MAIN DATASET'!C:C,"&gt;=5/1/2022",'MAIN DATASET'!C:C,"&lt;=5/31/2022")/1000000000</f>
        <v>2.1681340849531494E-2</v>
      </c>
      <c r="H11" s="512">
        <f>SUMIFS('MAIN DATASET'!R:R,'MAIN DATASET'!B:B,'Aid over time, Top 5 donors'!B11,'MAIN DATASET'!C:C,"&gt;=6/1/2022",'MAIN DATASET'!C:C,"&lt;=6/30/2022")/1000000000</f>
        <v>9.4266699345789101E-2</v>
      </c>
      <c r="I11" s="512">
        <f>SUMIFS('MAIN DATASET'!R:R,'MAIN DATASET'!B:B,'Aid over time, Top 5 donors'!B11,'MAIN DATASET'!C:C,"&gt;=7/1/2022",'MAIN DATASET'!C:C,"&lt;=7/31/2022")/1000000000</f>
        <v>0</v>
      </c>
      <c r="J11" s="513">
        <f t="shared" si="0"/>
        <v>0.30492064536410657</v>
      </c>
      <c r="K11" s="512"/>
      <c r="L11" s="512"/>
      <c r="M11" s="512"/>
      <c r="N11" s="512"/>
      <c r="O11" s="512"/>
      <c r="Q11" s="517"/>
    </row>
    <row r="12" spans="1:23" ht="15.75">
      <c r="B12" s="526" t="s">
        <v>503</v>
      </c>
      <c r="C12" s="513">
        <f>SUMIFS('MAIN DATASET'!R:R,'MAIN DATASET'!B:B,'Aid over time, Top 5 donors'!B12,'MAIN DATASET'!C:C,"&gt;=1/1/2022",'MAIN DATASET'!C:C,"&lt;=1/31/2022")/1000000000</f>
        <v>0</v>
      </c>
      <c r="D12" s="94">
        <f>SUMIFS('MAIN DATASET'!R:R,'MAIN DATASET'!B:B,'Aid over time, Top 5 donors'!B12,'MAIN DATASET'!C:C,"&gt;=2/1/2022",'MAIN DATASET'!C:C,"&lt;=2/28/2022")/1000000000</f>
        <v>3.7405709720480559E-2</v>
      </c>
      <c r="E12" s="94">
        <f>SUMIFS('MAIN DATASET'!R:R,'MAIN DATASET'!B:B,'Aid over time, Top 5 donors'!B12,'MAIN DATASET'!C:C,"&gt;=3/1/2022",'MAIN DATASET'!C:C,"&lt;=3/31/2022")/1000000000</f>
        <v>3.6306407653350782E-2</v>
      </c>
      <c r="F12" s="94">
        <f>SUMIFS('MAIN DATASET'!R:R,'MAIN DATASET'!B:B,'Aid over time, Top 5 donors'!B12,'MAIN DATASET'!C:C,"&gt;=4/1/2022",'MAIN DATASET'!C:C,"&lt;=4/30/2022")/1000000000</f>
        <v>1.5558103817389948E-2</v>
      </c>
      <c r="G12" s="512">
        <f>SUMIFS('MAIN DATASET'!R:R,'MAIN DATASET'!B:B,'Aid over time, Top 5 donors'!B12,'MAIN DATASET'!C:C,"&gt;=5/1/2022",'MAIN DATASET'!C:C,"&lt;=5/31/2022")/1000000000</f>
        <v>0.12547001812959904</v>
      </c>
      <c r="H12" s="512">
        <f>SUMIFS('MAIN DATASET'!R:R,'MAIN DATASET'!B:B,'Aid over time, Top 5 donors'!B12,'MAIN DATASET'!C:C,"&gt;=6/1/2022",'MAIN DATASET'!C:C,"&lt;=6/30/2022")/1000000000</f>
        <v>6.8363325623044077E-2</v>
      </c>
      <c r="I12" s="512">
        <f>SUMIFS('MAIN DATASET'!R:R,'MAIN DATASET'!B:B,'Aid over time, Top 5 donors'!B12,'MAIN DATASET'!C:C,"&gt;=7/1/2022",'MAIN DATASET'!C:C,"&lt;=7/31/2022")/1000000000</f>
        <v>0</v>
      </c>
      <c r="J12" s="513">
        <f t="shared" si="0"/>
        <v>0.28310356494386441</v>
      </c>
      <c r="K12" s="512"/>
      <c r="L12" s="512"/>
      <c r="M12" s="512"/>
      <c r="N12" s="512"/>
      <c r="O12" s="512"/>
      <c r="Q12" s="517"/>
    </row>
    <row r="13" spans="1:23" ht="15.75">
      <c r="B13" s="526" t="s">
        <v>1306</v>
      </c>
      <c r="C13" s="513">
        <f>SUMIFS('MAIN DATASET'!R:R,'MAIN DATASET'!B:B,'Aid over time, Top 5 donors'!B13,'MAIN DATASET'!C:C,"&gt;=1/1/2022",'MAIN DATASET'!C:C,"&lt;=1/31/2022")/1000000000</f>
        <v>0</v>
      </c>
      <c r="D13" s="94">
        <f>SUMIFS('MAIN DATASET'!R:R,'MAIN DATASET'!B:B,'Aid over time, Top 5 donors'!B13,'MAIN DATASET'!C:C,"&gt;=2/1/2022",'MAIN DATASET'!C:C,"&lt;=2/28/2022")/1000000000</f>
        <v>3.7878787878787876E-3</v>
      </c>
      <c r="E13" s="94">
        <f>SUMIFS('MAIN DATASET'!R:R,'MAIN DATASET'!B:B,'Aid over time, Top 5 donors'!B13,'MAIN DATASET'!C:C,"&gt;=3/1/2022",'MAIN DATASET'!C:C,"&lt;=3/31/2022")/1000000000</f>
        <v>3.7878787878787876E-3</v>
      </c>
      <c r="F13" s="94">
        <f>SUMIFS('MAIN DATASET'!R:R,'MAIN DATASET'!B:B,'Aid over time, Top 5 donors'!B13,'MAIN DATASET'!C:C,"&gt;=4/1/2022",'MAIN DATASET'!C:C,"&lt;=4/30/2022")/1000000000</f>
        <v>0.24621212121212119</v>
      </c>
      <c r="G13" s="512">
        <f>SUMIFS('MAIN DATASET'!R:R,'MAIN DATASET'!B:B,'Aid over time, Top 5 donors'!B13,'MAIN DATASET'!C:C,"&gt;=5/1/2022",'MAIN DATASET'!C:C,"&lt;=5/31/2022")/1000000000</f>
        <v>4.8543218027009439E-3</v>
      </c>
      <c r="H13" s="512">
        <f>SUMIFS('MAIN DATASET'!R:R,'MAIN DATASET'!B:B,'Aid over time, Top 5 donors'!B13,'MAIN DATASET'!C:C,"&gt;=6/1/2022",'MAIN DATASET'!C:C,"&lt;=6/30/2022")/1000000000</f>
        <v>1.8418560606060605E-2</v>
      </c>
      <c r="I13" s="512">
        <f>SUMIFS('MAIN DATASET'!R:R,'MAIN DATASET'!B:B,'Aid over time, Top 5 donors'!B13,'MAIN DATASET'!C:C,"&gt;=7/1/2022",'MAIN DATASET'!C:C,"&lt;=7/31/2022")/1000000000</f>
        <v>0</v>
      </c>
      <c r="J13" s="513">
        <f t="shared" si="0"/>
        <v>0.27706076119664036</v>
      </c>
      <c r="K13" s="512"/>
      <c r="L13" s="512"/>
      <c r="M13" s="512"/>
      <c r="N13" s="512"/>
      <c r="O13" s="512"/>
      <c r="Q13" s="517"/>
    </row>
    <row r="14" spans="1:23" ht="15.75">
      <c r="B14" s="526" t="s">
        <v>1408</v>
      </c>
      <c r="C14" s="513">
        <f>SUMIFS('MAIN DATASET'!R:R,'MAIN DATASET'!B:B,'Aid over time, Top 5 donors'!B14,'MAIN DATASET'!C:C,"&gt;=1/1/2022",'MAIN DATASET'!C:C,"&lt;=1/31/2022")/1000000000</f>
        <v>0</v>
      </c>
      <c r="D14" s="94">
        <f>SUMIFS('MAIN DATASET'!R:R,'MAIN DATASET'!B:B,'Aid over time, Top 5 donors'!B14,'MAIN DATASET'!C:C,"&gt;=2/1/2022",'MAIN DATASET'!C:C,"&lt;=2/28/2022")/1000000000</f>
        <v>0</v>
      </c>
      <c r="E14" s="94">
        <f>SUMIFS('MAIN DATASET'!R:R,'MAIN DATASET'!B:B,'Aid over time, Top 5 donors'!B14,'MAIN DATASET'!C:C,"&gt;=3/1/2022",'MAIN DATASET'!C:C,"&lt;=3/31/2022")/1000000000</f>
        <v>1E-4</v>
      </c>
      <c r="F14" s="94">
        <f>SUMIFS('MAIN DATASET'!R:R,'MAIN DATASET'!B:B,'Aid over time, Top 5 donors'!B14,'MAIN DATASET'!C:C,"&gt;=4/1/2022",'MAIN DATASET'!C:C,"&lt;=4/30/2022")/1000000000</f>
        <v>2.0193181818181816E-3</v>
      </c>
      <c r="G14" s="512">
        <f>SUMIFS('MAIN DATASET'!R:R,'MAIN DATASET'!B:B,'Aid over time, Top 5 donors'!B14,'MAIN DATASET'!C:C,"&gt;=5/1/2022",'MAIN DATASET'!C:C,"&lt;=5/31/2022")/1000000000</f>
        <v>0.2578092803030303</v>
      </c>
      <c r="H14" s="512">
        <f>SUMIFS('MAIN DATASET'!R:R,'MAIN DATASET'!B:B,'Aid over time, Top 5 donors'!B14,'MAIN DATASET'!C:C,"&gt;=6/1/2022",'MAIN DATASET'!C:C,"&lt;=6/30/2022")/1000000000</f>
        <v>0</v>
      </c>
      <c r="I14" s="512">
        <f>SUMIFS('MAIN DATASET'!R:R,'MAIN DATASET'!B:B,'Aid over time, Top 5 donors'!B14,'MAIN DATASET'!C:C,"&gt;=7/1/2022",'MAIN DATASET'!C:C,"&lt;=7/31/2022")/1000000000</f>
        <v>0</v>
      </c>
      <c r="J14" s="513">
        <f t="shared" si="0"/>
        <v>0.25992859848484851</v>
      </c>
      <c r="K14" s="512"/>
      <c r="L14" s="512"/>
      <c r="M14" s="512"/>
      <c r="N14" s="512"/>
      <c r="O14" s="512"/>
      <c r="Q14" s="517"/>
    </row>
    <row r="15" spans="1:23" ht="15.75">
      <c r="B15" s="526" t="s">
        <v>926</v>
      </c>
      <c r="C15" s="513">
        <f>SUMIFS('MAIN DATASET'!R:R,'MAIN DATASET'!B:B,'Aid over time, Top 5 donors'!B15,'MAIN DATASET'!C:C,"&gt;=1/1/2022",'MAIN DATASET'!C:C,"&lt;=1/31/2022")/1000000000</f>
        <v>0</v>
      </c>
      <c r="D15" s="94">
        <f>SUMIFS('MAIN DATASET'!R:R,'MAIN DATASET'!B:B,'Aid over time, Top 5 donors'!B15,'MAIN DATASET'!C:C,"&gt;=2/1/2022",'MAIN DATASET'!C:C,"&lt;=2/28/2022")/1000000000</f>
        <v>0</v>
      </c>
      <c r="E15" s="94">
        <f>SUMIFS('MAIN DATASET'!R:R,'MAIN DATASET'!B:B,'Aid over time, Top 5 donors'!B15,'MAIN DATASET'!C:C,"&gt;=3/1/2022",'MAIN DATASET'!C:C,"&lt;=3/31/2022")/1000000000</f>
        <v>0</v>
      </c>
      <c r="F15" s="94">
        <f>SUMIFS('MAIN DATASET'!R:R,'MAIN DATASET'!B:B,'Aid over time, Top 5 donors'!B15,'MAIN DATASET'!C:C,"&gt;=4/1/2022",'MAIN DATASET'!C:C,"&lt;=4/30/2022")/1000000000</f>
        <v>0</v>
      </c>
      <c r="G15" s="512">
        <f>SUMIFS('MAIN DATASET'!R:R,'MAIN DATASET'!B:B,'Aid over time, Top 5 donors'!B15,'MAIN DATASET'!C:C,"&gt;=5/1/2022",'MAIN DATASET'!C:C,"&lt;=5/31/2022")/1000000000</f>
        <v>0.23298521780303028</v>
      </c>
      <c r="H15" s="512">
        <f>SUMIFS('MAIN DATASET'!R:R,'MAIN DATASET'!B:B,'Aid over time, Top 5 donors'!B15,'MAIN DATASET'!C:C,"&gt;=6/1/2022",'MAIN DATASET'!C:C,"&lt;=6/30/2022")/1000000000</f>
        <v>0</v>
      </c>
      <c r="I15" s="512">
        <f>SUMIFS('MAIN DATASET'!R:R,'MAIN DATASET'!B:B,'Aid over time, Top 5 donors'!B15,'MAIN DATASET'!C:C,"&gt;=7/1/2022",'MAIN DATASET'!C:C,"&lt;=7/31/2022")/1000000000</f>
        <v>0</v>
      </c>
      <c r="J15" s="513">
        <f t="shared" si="0"/>
        <v>0.23298521780303028</v>
      </c>
      <c r="K15" s="512"/>
      <c r="L15" s="512"/>
      <c r="M15" s="512"/>
      <c r="N15" s="512"/>
      <c r="O15" s="512"/>
      <c r="Q15" s="517"/>
    </row>
    <row r="16" spans="1:23" ht="15.75">
      <c r="B16" s="526" t="s">
        <v>296</v>
      </c>
      <c r="C16" s="513">
        <f>SUMIFS('MAIN DATASET'!R:R,'MAIN DATASET'!B:B,'Aid over time, Top 5 donors'!B16,'MAIN DATASET'!C:C,"&gt;=1/1/2022",'MAIN DATASET'!C:C,"&lt;=1/31/2022")/1000000000</f>
        <v>0</v>
      </c>
      <c r="D16" s="94">
        <f>SUMIFS('MAIN DATASET'!R:R,'MAIN DATASET'!B:B,'Aid over time, Top 5 donors'!B16,'MAIN DATASET'!C:C,"&gt;=2/1/2022",'MAIN DATASET'!C:C,"&lt;=2/28/2022")/1000000000</f>
        <v>7.5999999999999998E-2</v>
      </c>
      <c r="E16" s="94">
        <f>SUMIFS('MAIN DATASET'!R:R,'MAIN DATASET'!B:B,'Aid over time, Top 5 donors'!B16,'MAIN DATASET'!C:C,"&gt;=3/1/2022",'MAIN DATASET'!C:C,"&lt;=3/31/2022")/1000000000</f>
        <v>3.63E-3</v>
      </c>
      <c r="F16" s="94">
        <f>SUMIFS('MAIN DATASET'!R:R,'MAIN DATASET'!B:B,'Aid over time, Top 5 donors'!B16,'MAIN DATASET'!C:C,"&gt;=4/1/2022",'MAIN DATASET'!C:C,"&lt;=4/30/2022")/1000000000</f>
        <v>8.3000000000000004E-2</v>
      </c>
      <c r="G16" s="512">
        <f>SUMIFS('MAIN DATASET'!R:R,'MAIN DATASET'!B:B,'Aid over time, Top 5 donors'!B16,'MAIN DATASET'!C:C,"&gt;=5/1/2022",'MAIN DATASET'!C:C,"&lt;=5/31/2022")/1000000000</f>
        <v>2.9770000000000001E-2</v>
      </c>
      <c r="H16" s="512">
        <f>SUMIFS('MAIN DATASET'!R:R,'MAIN DATASET'!B:B,'Aid over time, Top 5 donors'!B16,'MAIN DATASET'!C:C,"&gt;=6/1/2022",'MAIN DATASET'!C:C,"&lt;=6/30/2022")/1000000000</f>
        <v>0</v>
      </c>
      <c r="I16" s="512">
        <f>SUMIFS('MAIN DATASET'!R:R,'MAIN DATASET'!B:B,'Aid over time, Top 5 donors'!B16,'MAIN DATASET'!C:C,"&gt;=7/1/2022",'MAIN DATASET'!C:C,"&lt;=7/31/2022")/1000000000</f>
        <v>0</v>
      </c>
      <c r="J16" s="513">
        <f t="shared" si="0"/>
        <v>0.19239999999999999</v>
      </c>
      <c r="K16" s="512"/>
      <c r="L16" s="512"/>
      <c r="M16" s="512"/>
      <c r="N16" s="512"/>
      <c r="O16" s="512"/>
      <c r="Q16" s="517"/>
    </row>
    <row r="17" spans="2:17">
      <c r="C17" s="513"/>
      <c r="G17" s="512"/>
      <c r="H17" s="512"/>
      <c r="I17" s="512"/>
      <c r="J17" s="513"/>
      <c r="K17" s="512"/>
      <c r="L17" s="512"/>
      <c r="M17" s="512"/>
      <c r="N17" s="512"/>
      <c r="O17" s="512"/>
      <c r="Q17" s="517"/>
    </row>
    <row r="18" spans="2:17">
      <c r="C18" s="513"/>
      <c r="G18" s="512"/>
      <c r="H18" s="512"/>
      <c r="I18" s="512"/>
      <c r="J18" s="513"/>
      <c r="K18" s="512"/>
      <c r="L18" s="512"/>
      <c r="M18" s="512"/>
      <c r="N18" s="512"/>
      <c r="O18" s="512"/>
      <c r="Q18" s="517"/>
    </row>
    <row r="19" spans="2:17">
      <c r="C19" s="513"/>
      <c r="G19" s="512"/>
      <c r="H19" s="512"/>
      <c r="I19" s="512"/>
      <c r="J19" s="513"/>
      <c r="K19" s="512"/>
      <c r="L19" s="512"/>
      <c r="M19" s="512"/>
      <c r="N19" s="512"/>
      <c r="O19" s="512"/>
      <c r="Q19" s="517"/>
    </row>
    <row r="20" spans="2:17">
      <c r="B20" s="126"/>
      <c r="C20" s="513"/>
      <c r="G20" s="512"/>
      <c r="H20" s="512"/>
      <c r="I20" s="512"/>
      <c r="J20" s="513"/>
      <c r="K20" s="512"/>
      <c r="L20" s="512"/>
      <c r="M20" s="512"/>
      <c r="N20" s="512"/>
      <c r="O20" s="512"/>
      <c r="Q20" s="517"/>
    </row>
    <row r="21" spans="2:17">
      <c r="C21" s="513"/>
      <c r="G21" s="512"/>
      <c r="H21" s="512"/>
      <c r="I21" s="512"/>
      <c r="J21" s="513"/>
      <c r="K21" s="512"/>
      <c r="L21" s="512"/>
      <c r="M21" s="512"/>
      <c r="N21" s="512"/>
      <c r="O21" s="512"/>
      <c r="Q21" s="517"/>
    </row>
    <row r="22" spans="2:17">
      <c r="C22" s="513"/>
      <c r="G22" s="512"/>
      <c r="H22" s="512"/>
      <c r="I22" s="512"/>
      <c r="J22" s="513"/>
      <c r="K22" s="512"/>
      <c r="L22" s="512"/>
      <c r="M22" s="512"/>
      <c r="N22" s="512"/>
      <c r="O22" s="512"/>
      <c r="Q22" s="517"/>
    </row>
    <row r="23" spans="2:17">
      <c r="C23" s="513"/>
      <c r="G23" s="512"/>
      <c r="H23" s="512"/>
      <c r="I23" s="512"/>
      <c r="J23" s="513"/>
      <c r="K23" s="512"/>
      <c r="L23" s="512"/>
      <c r="M23" s="512"/>
      <c r="N23" s="512"/>
      <c r="O23" s="512"/>
      <c r="Q23" s="517"/>
    </row>
    <row r="24" spans="2:17">
      <c r="B24" s="126"/>
      <c r="C24" s="513"/>
      <c r="G24" s="512"/>
      <c r="H24" s="512"/>
      <c r="I24" s="512"/>
      <c r="J24" s="513"/>
      <c r="K24" s="512"/>
      <c r="L24" s="512"/>
      <c r="M24" s="512"/>
      <c r="N24" s="512"/>
      <c r="O24" s="512"/>
      <c r="Q24" s="517"/>
    </row>
    <row r="25" spans="2:17">
      <c r="C25" s="513"/>
      <c r="G25" s="512"/>
      <c r="H25" s="512"/>
      <c r="I25" s="512"/>
      <c r="J25" s="513"/>
      <c r="K25" s="512"/>
      <c r="L25" s="512"/>
      <c r="M25" s="512"/>
      <c r="N25" s="512"/>
      <c r="O25" s="512"/>
      <c r="Q25" s="517"/>
    </row>
    <row r="26" spans="2:17">
      <c r="B26" s="512"/>
      <c r="C26" s="513"/>
      <c r="G26" s="512"/>
      <c r="H26" s="512"/>
      <c r="I26" s="512"/>
      <c r="J26" s="513"/>
      <c r="K26" s="512"/>
      <c r="L26" s="512"/>
      <c r="M26" s="512"/>
      <c r="N26" s="512"/>
      <c r="O26" s="512"/>
      <c r="Q26" s="517"/>
    </row>
    <row r="27" spans="2:17">
      <c r="B27" s="512"/>
      <c r="C27" s="513"/>
      <c r="G27" s="512"/>
      <c r="H27" s="512"/>
      <c r="I27" s="512"/>
      <c r="J27" s="513"/>
      <c r="K27" s="512"/>
      <c r="L27" s="512"/>
      <c r="M27" s="512"/>
      <c r="N27" s="512"/>
      <c r="O27" s="512"/>
      <c r="Q27" s="517"/>
    </row>
    <row r="28" spans="2:17">
      <c r="C28" s="513"/>
      <c r="G28" s="512"/>
      <c r="H28" s="512"/>
      <c r="I28" s="512"/>
      <c r="J28" s="513"/>
      <c r="K28" s="512"/>
      <c r="L28" s="512"/>
      <c r="M28" s="512"/>
      <c r="N28" s="512"/>
      <c r="O28" s="512"/>
      <c r="Q28" s="517"/>
    </row>
    <row r="29" spans="2:17">
      <c r="C29" s="513"/>
      <c r="G29" s="512"/>
      <c r="H29" s="512"/>
      <c r="I29" s="512"/>
      <c r="J29" s="513"/>
      <c r="K29" s="512"/>
      <c r="L29" s="512"/>
      <c r="M29" s="512"/>
      <c r="N29" s="512"/>
      <c r="O29" s="512"/>
      <c r="Q29" s="517"/>
    </row>
    <row r="30" spans="2:17">
      <c r="B30" s="512"/>
      <c r="C30" s="513"/>
      <c r="G30" s="512"/>
      <c r="H30" s="512"/>
      <c r="I30" s="512"/>
      <c r="J30" s="513"/>
      <c r="K30" s="512"/>
      <c r="L30" s="512"/>
      <c r="M30" s="512"/>
      <c r="N30" s="512"/>
      <c r="O30" s="512"/>
      <c r="Q30" s="517"/>
    </row>
    <row r="31" spans="2:17">
      <c r="C31" s="513"/>
      <c r="G31" s="512"/>
      <c r="H31" s="512"/>
      <c r="I31" s="512"/>
      <c r="J31" s="513"/>
      <c r="K31" s="512"/>
      <c r="L31" s="512"/>
      <c r="M31" s="512"/>
      <c r="N31" s="512"/>
      <c r="O31" s="512"/>
      <c r="Q31" s="517"/>
    </row>
    <row r="32" spans="2:17">
      <c r="C32" s="513"/>
      <c r="G32" s="512"/>
      <c r="H32" s="512"/>
      <c r="I32" s="512"/>
      <c r="J32" s="513"/>
      <c r="K32" s="512"/>
      <c r="L32" s="512"/>
      <c r="M32" s="512"/>
      <c r="N32" s="512"/>
      <c r="O32" s="512"/>
      <c r="Q32" s="517"/>
    </row>
    <row r="33" spans="1:17">
      <c r="C33" s="513"/>
      <c r="G33" s="512"/>
      <c r="H33" s="512"/>
      <c r="I33" s="512"/>
      <c r="J33" s="513"/>
      <c r="K33" s="512"/>
      <c r="L33" s="512"/>
      <c r="M33" s="512"/>
      <c r="N33" s="512"/>
      <c r="O33" s="512"/>
      <c r="Q33" s="517"/>
    </row>
    <row r="34" spans="1:17">
      <c r="C34" s="513"/>
      <c r="G34" s="512"/>
      <c r="H34" s="512"/>
      <c r="I34" s="512"/>
      <c r="J34" s="513"/>
      <c r="K34" s="512"/>
      <c r="L34" s="512"/>
      <c r="M34" s="512"/>
      <c r="N34" s="512"/>
      <c r="O34" s="512"/>
      <c r="Q34" s="517"/>
    </row>
    <row r="35" spans="1:17">
      <c r="C35" s="513"/>
      <c r="G35" s="512"/>
      <c r="H35" s="512"/>
      <c r="I35" s="512"/>
      <c r="J35" s="513"/>
      <c r="K35" s="512"/>
      <c r="L35" s="512"/>
      <c r="M35" s="512"/>
      <c r="N35" s="512"/>
      <c r="O35" s="512"/>
      <c r="Q35" s="517"/>
    </row>
    <row r="36" spans="1:17">
      <c r="B36" s="512"/>
      <c r="C36" s="513"/>
      <c r="G36" s="512"/>
      <c r="H36" s="512"/>
      <c r="I36" s="512"/>
      <c r="J36" s="513"/>
      <c r="K36" s="512"/>
      <c r="L36" s="512"/>
      <c r="M36" s="512"/>
      <c r="N36" s="512"/>
      <c r="O36" s="512"/>
      <c r="Q36" s="517"/>
    </row>
    <row r="37" spans="1:17">
      <c r="B37" s="512"/>
      <c r="C37" s="513"/>
      <c r="G37" s="512"/>
      <c r="H37" s="512"/>
      <c r="I37" s="512"/>
      <c r="J37" s="513"/>
      <c r="K37" s="512"/>
      <c r="L37" s="512"/>
      <c r="M37" s="512"/>
      <c r="N37" s="512"/>
      <c r="O37" s="512"/>
      <c r="Q37" s="517"/>
    </row>
    <row r="38" spans="1:17">
      <c r="C38" s="513"/>
      <c r="G38" s="512"/>
      <c r="H38" s="512"/>
      <c r="I38" s="512"/>
      <c r="J38" s="513"/>
      <c r="K38" s="512"/>
      <c r="L38" s="512"/>
      <c r="M38" s="512"/>
      <c r="N38" s="512"/>
      <c r="O38" s="512"/>
      <c r="Q38" s="517"/>
    </row>
    <row r="39" spans="1:17" s="126" customFormat="1">
      <c r="A39" s="117"/>
      <c r="C39" s="513"/>
      <c r="D39" s="94"/>
      <c r="E39" s="94"/>
      <c r="F39" s="94"/>
      <c r="G39" s="512"/>
      <c r="H39" s="512"/>
      <c r="I39" s="512"/>
      <c r="J39" s="513"/>
      <c r="K39" s="520"/>
      <c r="L39" s="520"/>
      <c r="M39" s="520"/>
      <c r="N39" s="520"/>
      <c r="O39" s="520"/>
      <c r="Q39" s="522"/>
    </row>
    <row r="40" spans="1:17">
      <c r="C40" s="513"/>
      <c r="G40" s="512"/>
      <c r="H40" s="512"/>
      <c r="I40" s="512"/>
      <c r="J40" s="513"/>
      <c r="K40" s="512"/>
      <c r="L40" s="512"/>
      <c r="M40" s="512"/>
      <c r="N40" s="512"/>
      <c r="O40" s="512"/>
      <c r="Q40" s="517"/>
    </row>
    <row r="41" spans="1:17">
      <c r="C41" s="513"/>
      <c r="G41" s="512"/>
      <c r="H41" s="512"/>
      <c r="I41" s="512"/>
      <c r="J41" s="513"/>
      <c r="K41" s="512"/>
      <c r="L41" s="512"/>
      <c r="M41" s="512"/>
      <c r="N41" s="512"/>
      <c r="O41" s="512"/>
      <c r="Q41" s="517"/>
    </row>
    <row r="42" spans="1:17">
      <c r="C42" s="513"/>
      <c r="G42" s="512"/>
      <c r="H42" s="512"/>
      <c r="I42" s="512"/>
      <c r="J42" s="513"/>
      <c r="K42" s="512"/>
      <c r="L42" s="512"/>
      <c r="M42" s="512"/>
      <c r="N42" s="512"/>
      <c r="O42" s="512"/>
      <c r="Q42" s="517"/>
    </row>
    <row r="43" spans="1:17">
      <c r="G43" s="512"/>
      <c r="H43" s="512"/>
      <c r="I43" s="512"/>
      <c r="J43" s="516"/>
      <c r="K43" s="512"/>
      <c r="L43" s="512"/>
      <c r="M43" s="512"/>
      <c r="N43" s="512"/>
      <c r="O43" s="512"/>
      <c r="Q43" s="517"/>
    </row>
    <row r="44" spans="1:17">
      <c r="B44" s="512"/>
      <c r="K44" s="512"/>
      <c r="L44" s="512"/>
      <c r="M44" s="512"/>
      <c r="N44" s="512"/>
      <c r="O44" s="512"/>
      <c r="Q44" s="517"/>
    </row>
    <row r="45" spans="1:17">
      <c r="G45" s="512"/>
      <c r="H45" s="512"/>
      <c r="I45" s="512"/>
      <c r="J45" s="516"/>
      <c r="K45" s="512"/>
      <c r="L45" s="512"/>
      <c r="M45" s="512"/>
      <c r="N45" s="512"/>
      <c r="O45" s="512"/>
      <c r="Q45" s="517"/>
    </row>
    <row r="46" spans="1:17">
      <c r="D46" s="131"/>
      <c r="E46" s="131"/>
      <c r="F46" s="131"/>
      <c r="G46" s="131"/>
      <c r="H46" s="131"/>
      <c r="I46" s="131"/>
      <c r="J46" s="516"/>
      <c r="K46" s="512"/>
      <c r="L46" s="512"/>
      <c r="M46" s="512"/>
      <c r="N46" s="512"/>
      <c r="O46" s="512"/>
      <c r="Q46" s="517"/>
    </row>
    <row r="47" spans="1:17">
      <c r="D47" s="131"/>
      <c r="E47" s="131"/>
      <c r="F47" s="131"/>
      <c r="G47" s="131"/>
      <c r="H47" s="131"/>
      <c r="I47" s="131"/>
      <c r="J47" s="516"/>
      <c r="K47" s="512"/>
      <c r="L47" s="512"/>
      <c r="M47" s="512"/>
      <c r="N47" s="512"/>
      <c r="O47" s="512"/>
      <c r="Q47" s="517"/>
    </row>
    <row r="48" spans="1:17">
      <c r="G48" s="512"/>
      <c r="H48" s="512"/>
      <c r="I48" s="512"/>
      <c r="J48" s="516"/>
      <c r="K48" s="512"/>
      <c r="L48" s="512"/>
      <c r="M48" s="512"/>
      <c r="N48" s="512"/>
      <c r="O48" s="512"/>
      <c r="Q48" s="517"/>
    </row>
    <row r="49" spans="2:17">
      <c r="G49" s="512"/>
      <c r="H49" s="512"/>
      <c r="I49" s="512"/>
      <c r="J49" s="516"/>
      <c r="K49" s="512"/>
      <c r="L49" s="512"/>
      <c r="M49" s="512"/>
      <c r="N49" s="512"/>
      <c r="O49" s="512"/>
      <c r="Q49" s="517"/>
    </row>
    <row r="50" spans="2:17">
      <c r="B50" s="132"/>
      <c r="G50" s="512"/>
      <c r="H50" s="512"/>
      <c r="I50" s="512"/>
      <c r="J50" s="516"/>
      <c r="K50" s="512"/>
      <c r="L50" s="512"/>
      <c r="M50" s="512"/>
      <c r="N50" s="512"/>
      <c r="O50" s="512"/>
      <c r="Q50" s="517"/>
    </row>
    <row r="51" spans="2:17">
      <c r="G51" s="512"/>
      <c r="H51" s="512"/>
      <c r="I51" s="512"/>
      <c r="J51" s="516"/>
      <c r="K51" s="512"/>
      <c r="L51" s="512"/>
      <c r="M51" s="512"/>
      <c r="N51" s="512"/>
      <c r="O51" s="512"/>
      <c r="Q51" s="517"/>
    </row>
    <row r="52" spans="2:17">
      <c r="B52" s="109"/>
      <c r="G52" s="512"/>
      <c r="H52" s="512"/>
      <c r="I52" s="512"/>
      <c r="J52" s="516"/>
      <c r="K52" s="512"/>
      <c r="L52" s="512"/>
      <c r="M52" s="512"/>
      <c r="N52" s="512"/>
      <c r="O52" s="512"/>
      <c r="Q52" s="517"/>
    </row>
    <row r="53" spans="2:17">
      <c r="G53" s="512"/>
      <c r="H53" s="512"/>
      <c r="I53" s="512"/>
      <c r="J53" s="516"/>
      <c r="K53" s="512"/>
      <c r="L53" s="512"/>
      <c r="M53" s="512"/>
      <c r="N53" s="512"/>
      <c r="O53" s="512"/>
      <c r="Q53" s="517"/>
    </row>
    <row r="54" spans="2:17">
      <c r="G54" s="512"/>
      <c r="H54" s="512"/>
      <c r="I54" s="512"/>
      <c r="J54" s="516"/>
      <c r="K54" s="512"/>
      <c r="L54" s="512"/>
      <c r="M54" s="512"/>
      <c r="N54" s="512"/>
      <c r="O54" s="512"/>
      <c r="Q54" s="517"/>
    </row>
    <row r="55" spans="2:17">
      <c r="G55" s="512"/>
      <c r="H55" s="512"/>
      <c r="I55" s="512"/>
      <c r="J55" s="516"/>
      <c r="K55" s="512"/>
      <c r="L55" s="512"/>
      <c r="M55" s="512"/>
      <c r="N55" s="512"/>
      <c r="O55" s="512"/>
      <c r="Q55" s="517"/>
    </row>
    <row r="56" spans="2:17">
      <c r="G56" s="512"/>
      <c r="H56" s="512"/>
      <c r="I56" s="512"/>
      <c r="J56" s="516"/>
      <c r="K56" s="512"/>
      <c r="L56" s="512"/>
      <c r="M56" s="512"/>
      <c r="N56" s="512"/>
      <c r="O56" s="512"/>
      <c r="Q56" s="517"/>
    </row>
    <row r="57" spans="2:17">
      <c r="G57" s="512"/>
      <c r="H57" s="512"/>
      <c r="I57" s="512"/>
      <c r="J57" s="516"/>
      <c r="K57" s="512"/>
      <c r="L57" s="512"/>
      <c r="M57" s="512"/>
      <c r="N57" s="512"/>
      <c r="O57" s="512"/>
      <c r="Q57" s="517"/>
    </row>
    <row r="58" spans="2:17">
      <c r="G58" s="512"/>
      <c r="H58" s="512"/>
      <c r="I58" s="512"/>
      <c r="J58" s="516"/>
      <c r="K58" s="512"/>
      <c r="L58" s="512"/>
      <c r="M58" s="512"/>
      <c r="N58" s="512"/>
      <c r="O58" s="512"/>
      <c r="Q58" s="517"/>
    </row>
    <row r="59" spans="2:17">
      <c r="G59" s="512"/>
      <c r="H59" s="512"/>
      <c r="I59" s="512"/>
      <c r="J59" s="516"/>
      <c r="K59" s="512"/>
      <c r="L59" s="512"/>
      <c r="M59" s="512"/>
      <c r="N59" s="512"/>
      <c r="O59" s="512"/>
      <c r="Q59" s="517"/>
    </row>
    <row r="60" spans="2:17">
      <c r="G60" s="512"/>
      <c r="H60" s="512"/>
      <c r="I60" s="512"/>
      <c r="J60" s="516"/>
      <c r="K60" s="512"/>
      <c r="L60" s="512"/>
      <c r="M60" s="512"/>
      <c r="N60" s="512"/>
      <c r="O60" s="512"/>
      <c r="Q60" s="517"/>
    </row>
    <row r="61" spans="2:17">
      <c r="G61" s="512"/>
      <c r="H61" s="512"/>
      <c r="I61" s="512"/>
      <c r="J61" s="516"/>
      <c r="K61" s="512"/>
      <c r="L61" s="512"/>
      <c r="M61" s="512"/>
      <c r="N61" s="512"/>
      <c r="O61" s="512"/>
      <c r="Q61" s="517"/>
    </row>
    <row r="62" spans="2:17">
      <c r="G62" s="512"/>
      <c r="H62" s="512"/>
      <c r="I62" s="512"/>
      <c r="J62" s="516"/>
      <c r="K62" s="512"/>
      <c r="L62" s="512"/>
      <c r="M62" s="512"/>
      <c r="N62" s="512"/>
      <c r="O62" s="512"/>
      <c r="Q62" s="517"/>
    </row>
    <row r="63" spans="2:17">
      <c r="G63" s="512"/>
      <c r="H63" s="512"/>
      <c r="I63" s="512"/>
      <c r="J63" s="516"/>
      <c r="K63" s="512"/>
      <c r="L63" s="512"/>
      <c r="M63" s="512"/>
      <c r="N63" s="512"/>
      <c r="O63" s="512"/>
      <c r="Q63" s="517"/>
    </row>
    <row r="64" spans="2:17">
      <c r="G64" s="512"/>
      <c r="H64" s="512"/>
      <c r="I64" s="512"/>
      <c r="J64" s="516"/>
      <c r="K64" s="512"/>
      <c r="L64" s="512"/>
      <c r="M64" s="512"/>
      <c r="N64" s="512"/>
      <c r="O64" s="512"/>
      <c r="Q64" s="517"/>
    </row>
    <row r="65" spans="7:17">
      <c r="G65" s="512"/>
      <c r="H65" s="512"/>
      <c r="I65" s="512"/>
      <c r="J65" s="516"/>
      <c r="K65" s="512"/>
      <c r="L65" s="512"/>
      <c r="M65" s="512"/>
      <c r="N65" s="512"/>
      <c r="O65" s="512"/>
      <c r="Q65" s="517"/>
    </row>
    <row r="66" spans="7:17">
      <c r="G66" s="512"/>
      <c r="H66" s="512"/>
      <c r="I66" s="512"/>
      <c r="J66" s="516"/>
      <c r="K66" s="512"/>
      <c r="L66" s="512"/>
      <c r="M66" s="512"/>
      <c r="N66" s="512"/>
      <c r="O66" s="512"/>
      <c r="Q66" s="517"/>
    </row>
    <row r="67" spans="7:17">
      <c r="G67" s="512"/>
      <c r="H67" s="512"/>
      <c r="I67" s="512"/>
      <c r="J67" s="516"/>
      <c r="K67" s="512"/>
      <c r="L67" s="512"/>
      <c r="M67" s="512"/>
      <c r="N67" s="512"/>
      <c r="O67" s="512"/>
      <c r="Q67" s="517"/>
    </row>
    <row r="68" spans="7:17">
      <c r="G68" s="512"/>
      <c r="H68" s="512"/>
      <c r="I68" s="512"/>
      <c r="J68" s="516"/>
      <c r="K68" s="512"/>
      <c r="L68" s="512"/>
      <c r="M68" s="512"/>
      <c r="N68" s="512"/>
      <c r="O68" s="512"/>
      <c r="Q68" s="517"/>
    </row>
    <row r="69" spans="7:17">
      <c r="G69" s="512"/>
      <c r="H69" s="512"/>
      <c r="I69" s="512"/>
      <c r="J69" s="516"/>
      <c r="K69" s="512"/>
      <c r="L69" s="512"/>
      <c r="M69" s="512"/>
      <c r="N69" s="512"/>
      <c r="O69" s="512"/>
      <c r="Q69" s="517"/>
    </row>
    <row r="70" spans="7:17">
      <c r="G70" s="512"/>
      <c r="H70" s="512"/>
      <c r="I70" s="512"/>
      <c r="J70" s="516"/>
      <c r="K70" s="512"/>
      <c r="L70" s="512"/>
      <c r="M70" s="512"/>
      <c r="N70" s="512"/>
      <c r="O70" s="512"/>
      <c r="Q70" s="517"/>
    </row>
    <row r="71" spans="7:17">
      <c r="G71" s="512"/>
      <c r="H71" s="512"/>
      <c r="I71" s="512"/>
      <c r="J71" s="516"/>
      <c r="K71" s="512"/>
      <c r="L71" s="512"/>
      <c r="M71" s="512"/>
      <c r="N71" s="512"/>
      <c r="O71" s="512"/>
      <c r="Q71" s="517"/>
    </row>
    <row r="72" spans="7:17">
      <c r="G72" s="512"/>
      <c r="H72" s="512"/>
      <c r="I72" s="512"/>
      <c r="J72" s="516"/>
      <c r="K72" s="512"/>
      <c r="L72" s="512"/>
      <c r="M72" s="512"/>
      <c r="N72" s="512"/>
      <c r="O72" s="512"/>
      <c r="Q72" s="517"/>
    </row>
    <row r="73" spans="7:17">
      <c r="G73" s="512"/>
      <c r="H73" s="512"/>
      <c r="I73" s="512"/>
      <c r="J73" s="516"/>
      <c r="K73" s="512"/>
      <c r="L73" s="512"/>
      <c r="M73" s="512"/>
      <c r="N73" s="512"/>
      <c r="O73" s="512"/>
      <c r="Q73" s="517"/>
    </row>
    <row r="74" spans="7:17">
      <c r="G74" s="512"/>
      <c r="H74" s="512"/>
      <c r="I74" s="512"/>
      <c r="J74" s="516"/>
      <c r="K74" s="512"/>
      <c r="L74" s="512"/>
      <c r="M74" s="512"/>
      <c r="N74" s="512"/>
      <c r="O74" s="512"/>
      <c r="Q74" s="517"/>
    </row>
    <row r="75" spans="7:17">
      <c r="G75" s="512"/>
      <c r="H75" s="512"/>
      <c r="I75" s="512"/>
      <c r="J75" s="512"/>
      <c r="K75" s="512"/>
      <c r="L75" s="512"/>
      <c r="M75" s="512"/>
      <c r="N75" s="512"/>
      <c r="O75" s="512"/>
      <c r="Q75" s="517"/>
    </row>
    <row r="76" spans="7:17">
      <c r="G76" s="512"/>
      <c r="H76" s="512"/>
      <c r="I76" s="512"/>
      <c r="J76" s="516"/>
      <c r="K76" s="512"/>
      <c r="L76" s="512"/>
      <c r="M76" s="512"/>
      <c r="N76" s="512"/>
      <c r="O76" s="512"/>
      <c r="Q76" s="517"/>
    </row>
    <row r="77" spans="7:17">
      <c r="G77" s="512"/>
      <c r="H77" s="512"/>
      <c r="I77" s="512"/>
      <c r="J77" s="516"/>
      <c r="K77" s="512"/>
      <c r="L77" s="512"/>
      <c r="M77" s="512"/>
      <c r="N77" s="512"/>
      <c r="O77" s="512"/>
      <c r="Q77" s="517"/>
    </row>
    <row r="78" spans="7:17">
      <c r="G78" s="512"/>
      <c r="H78" s="512"/>
      <c r="I78" s="512"/>
      <c r="J78" s="516"/>
      <c r="K78" s="512"/>
      <c r="L78" s="512"/>
      <c r="M78" s="512"/>
      <c r="N78" s="512"/>
      <c r="O78" s="512"/>
      <c r="Q78" s="517"/>
    </row>
    <row r="79" spans="7:17">
      <c r="G79" s="512"/>
      <c r="H79" s="512"/>
      <c r="I79" s="512"/>
      <c r="J79" s="516"/>
      <c r="K79" s="512"/>
      <c r="L79" s="512"/>
      <c r="M79" s="512"/>
      <c r="N79" s="512"/>
      <c r="O79" s="512"/>
      <c r="Q79" s="517"/>
    </row>
    <row r="80" spans="7:17">
      <c r="G80" s="512"/>
      <c r="H80" s="512"/>
      <c r="I80" s="512"/>
      <c r="J80" s="516"/>
      <c r="K80" s="512"/>
      <c r="L80" s="512"/>
      <c r="M80" s="512"/>
      <c r="N80" s="512"/>
      <c r="O80" s="512"/>
      <c r="Q80" s="517"/>
    </row>
    <row r="81" spans="7:17">
      <c r="G81" s="512"/>
      <c r="H81" s="512"/>
      <c r="I81" s="512"/>
      <c r="J81" s="516"/>
      <c r="K81" s="512"/>
      <c r="L81" s="512"/>
      <c r="M81" s="512"/>
      <c r="N81" s="512"/>
      <c r="O81" s="512"/>
      <c r="Q81" s="517"/>
    </row>
    <row r="82" spans="7:17">
      <c r="G82" s="512"/>
      <c r="H82" s="512"/>
      <c r="I82" s="512"/>
      <c r="J82" s="516"/>
      <c r="K82" s="512"/>
      <c r="L82" s="512"/>
      <c r="M82" s="512"/>
      <c r="N82" s="512"/>
      <c r="O82" s="512"/>
      <c r="Q82" s="517"/>
    </row>
    <row r="83" spans="7:17">
      <c r="G83" s="512"/>
      <c r="H83" s="512"/>
      <c r="I83" s="512"/>
      <c r="J83" s="516"/>
      <c r="K83" s="512"/>
      <c r="L83" s="512"/>
      <c r="M83" s="512"/>
      <c r="N83" s="512"/>
      <c r="O83" s="512"/>
      <c r="Q83" s="517"/>
    </row>
    <row r="84" spans="7:17">
      <c r="G84" s="512"/>
      <c r="H84" s="512"/>
      <c r="I84" s="512"/>
      <c r="J84" s="516"/>
      <c r="K84" s="512"/>
      <c r="L84" s="512"/>
      <c r="M84" s="512"/>
      <c r="N84" s="512"/>
      <c r="O84" s="512"/>
      <c r="Q84" s="517"/>
    </row>
    <row r="85" spans="7:17">
      <c r="G85" s="512"/>
      <c r="H85" s="512"/>
      <c r="I85" s="512"/>
      <c r="J85" s="516"/>
      <c r="K85" s="512"/>
      <c r="L85" s="512"/>
      <c r="M85" s="512"/>
      <c r="N85" s="512"/>
      <c r="O85" s="512"/>
      <c r="Q85" s="517"/>
    </row>
    <row r="86" spans="7:17">
      <c r="G86" s="512"/>
      <c r="H86" s="512"/>
      <c r="I86" s="512"/>
      <c r="J86" s="516"/>
      <c r="K86" s="512"/>
      <c r="L86" s="512"/>
      <c r="M86" s="512"/>
      <c r="N86" s="512"/>
      <c r="O86" s="512"/>
      <c r="Q86" s="517"/>
    </row>
    <row r="87" spans="7:17">
      <c r="G87" s="512"/>
      <c r="H87" s="512"/>
      <c r="I87" s="512"/>
      <c r="J87" s="516"/>
      <c r="K87" s="512"/>
      <c r="L87" s="512"/>
      <c r="M87" s="512"/>
      <c r="N87" s="512"/>
      <c r="O87" s="512"/>
      <c r="Q87" s="517"/>
    </row>
    <row r="88" spans="7:17">
      <c r="G88" s="512"/>
      <c r="H88" s="512"/>
      <c r="I88" s="512"/>
      <c r="J88" s="516"/>
      <c r="K88" s="512"/>
      <c r="L88" s="512"/>
      <c r="M88" s="512"/>
      <c r="N88" s="512"/>
      <c r="O88" s="512"/>
      <c r="Q88" s="517"/>
    </row>
    <row r="89" spans="7:17">
      <c r="G89" s="512"/>
      <c r="H89" s="512"/>
      <c r="I89" s="512"/>
      <c r="J89" s="516"/>
      <c r="K89" s="512"/>
      <c r="L89" s="512"/>
      <c r="M89" s="512"/>
      <c r="N89" s="512"/>
      <c r="O89" s="512"/>
      <c r="Q89" s="517"/>
    </row>
    <row r="90" spans="7:17">
      <c r="G90" s="512"/>
      <c r="H90" s="512"/>
      <c r="I90" s="512"/>
      <c r="J90" s="516"/>
      <c r="K90" s="512"/>
      <c r="L90" s="512"/>
      <c r="M90" s="512"/>
      <c r="N90" s="512"/>
      <c r="O90" s="512"/>
      <c r="Q90" s="517"/>
    </row>
    <row r="91" spans="7:17">
      <c r="G91" s="512"/>
      <c r="H91" s="512"/>
      <c r="I91" s="512"/>
      <c r="J91" s="516"/>
      <c r="K91" s="512"/>
      <c r="L91" s="512"/>
      <c r="M91" s="512"/>
      <c r="N91" s="512"/>
      <c r="O91" s="512"/>
      <c r="Q91" s="517"/>
    </row>
    <row r="92" spans="7:17">
      <c r="G92" s="512"/>
      <c r="H92" s="512"/>
      <c r="I92" s="512"/>
      <c r="J92" s="516"/>
      <c r="K92" s="512"/>
      <c r="L92" s="512"/>
      <c r="M92" s="512"/>
      <c r="N92" s="512"/>
      <c r="O92" s="512"/>
      <c r="Q92" s="517"/>
    </row>
    <row r="93" spans="7:17">
      <c r="G93" s="512"/>
      <c r="H93" s="512"/>
      <c r="I93" s="512"/>
      <c r="J93" s="516"/>
      <c r="K93" s="512"/>
      <c r="L93" s="512"/>
      <c r="M93" s="512"/>
      <c r="N93" s="512"/>
      <c r="O93" s="512"/>
      <c r="Q93" s="517"/>
    </row>
    <row r="94" spans="7:17">
      <c r="G94" s="512"/>
      <c r="H94" s="512"/>
      <c r="I94" s="512"/>
      <c r="J94" s="516"/>
      <c r="K94" s="512"/>
      <c r="L94" s="512"/>
      <c r="M94" s="512"/>
      <c r="N94" s="512"/>
      <c r="O94" s="512"/>
      <c r="Q94" s="517"/>
    </row>
    <row r="95" spans="7:17">
      <c r="G95" s="512"/>
      <c r="H95" s="512"/>
      <c r="I95" s="512"/>
      <c r="J95" s="516"/>
      <c r="K95" s="512"/>
      <c r="L95" s="512"/>
      <c r="M95" s="512"/>
      <c r="N95" s="512"/>
      <c r="O95" s="512"/>
      <c r="Q95" s="517"/>
    </row>
    <row r="96" spans="7:17">
      <c r="G96" s="512"/>
      <c r="H96" s="512"/>
      <c r="I96" s="512"/>
      <c r="J96" s="516"/>
      <c r="K96" s="512"/>
      <c r="L96" s="512"/>
      <c r="M96" s="512"/>
      <c r="N96" s="512"/>
      <c r="O96" s="512"/>
      <c r="Q96" s="517"/>
    </row>
    <row r="97" spans="7:17">
      <c r="G97" s="512"/>
      <c r="H97" s="512"/>
      <c r="I97" s="512"/>
      <c r="J97" s="516"/>
      <c r="K97" s="512"/>
      <c r="L97" s="512"/>
      <c r="M97" s="512"/>
      <c r="N97" s="512"/>
      <c r="O97" s="512"/>
      <c r="Q97" s="517"/>
    </row>
    <row r="98" spans="7:17">
      <c r="G98" s="512"/>
      <c r="H98" s="512"/>
      <c r="I98" s="512"/>
      <c r="J98" s="516"/>
      <c r="K98" s="512"/>
      <c r="L98" s="512"/>
      <c r="M98" s="512"/>
      <c r="N98" s="512"/>
      <c r="O98" s="512"/>
      <c r="Q98" s="517"/>
    </row>
    <row r="99" spans="7:17">
      <c r="G99" s="512"/>
      <c r="H99" s="512"/>
      <c r="I99" s="512"/>
      <c r="J99" s="516"/>
      <c r="K99" s="512"/>
      <c r="L99" s="512"/>
      <c r="M99" s="512"/>
      <c r="N99" s="512"/>
      <c r="O99" s="512"/>
      <c r="Q99" s="517"/>
    </row>
    <row r="100" spans="7:17">
      <c r="G100" s="512"/>
      <c r="H100" s="512"/>
      <c r="I100" s="512"/>
      <c r="J100" s="516"/>
      <c r="K100" s="512"/>
      <c r="L100" s="512"/>
      <c r="M100" s="512"/>
      <c r="N100" s="512"/>
      <c r="O100" s="512"/>
      <c r="Q100" s="517"/>
    </row>
    <row r="101" spans="7:17">
      <c r="G101" s="512"/>
      <c r="H101" s="512"/>
      <c r="I101" s="512"/>
      <c r="J101" s="516"/>
      <c r="K101" s="512"/>
      <c r="L101" s="512"/>
      <c r="M101" s="512"/>
      <c r="N101" s="512"/>
      <c r="O101" s="512"/>
      <c r="Q101" s="517"/>
    </row>
    <row r="102" spans="7:17">
      <c r="G102" s="512"/>
      <c r="H102" s="512"/>
      <c r="I102" s="512"/>
      <c r="J102" s="516"/>
      <c r="K102" s="512"/>
      <c r="L102" s="512"/>
      <c r="M102" s="512"/>
      <c r="N102" s="512"/>
      <c r="O102" s="512"/>
      <c r="Q102" s="517"/>
    </row>
    <row r="103" spans="7:17">
      <c r="G103" s="512"/>
      <c r="H103" s="512"/>
      <c r="I103" s="512"/>
      <c r="J103" s="516"/>
      <c r="K103" s="512"/>
      <c r="L103" s="512"/>
      <c r="M103" s="512"/>
      <c r="N103" s="512"/>
      <c r="O103" s="512"/>
      <c r="Q103" s="517"/>
    </row>
    <row r="104" spans="7:17">
      <c r="G104" s="512"/>
      <c r="H104" s="512"/>
      <c r="I104" s="512"/>
      <c r="J104" s="516"/>
      <c r="K104" s="512"/>
      <c r="L104" s="512"/>
      <c r="M104" s="512"/>
      <c r="N104" s="512"/>
      <c r="O104" s="512"/>
      <c r="Q104" s="517"/>
    </row>
    <row r="105" spans="7:17">
      <c r="G105" s="512"/>
      <c r="H105" s="512"/>
      <c r="I105" s="512"/>
      <c r="J105" s="516"/>
      <c r="K105" s="512"/>
      <c r="L105" s="512"/>
      <c r="M105" s="512"/>
      <c r="N105" s="512"/>
      <c r="O105" s="512"/>
      <c r="Q105" s="517"/>
    </row>
    <row r="106" spans="7:17">
      <c r="G106" s="512"/>
      <c r="H106" s="512"/>
      <c r="I106" s="512"/>
      <c r="J106" s="516"/>
      <c r="K106" s="512"/>
      <c r="L106" s="512"/>
      <c r="M106" s="512"/>
      <c r="N106" s="512"/>
      <c r="O106" s="512"/>
      <c r="Q106" s="517"/>
    </row>
    <row r="107" spans="7:17">
      <c r="G107" s="512"/>
      <c r="H107" s="512"/>
      <c r="I107" s="512"/>
      <c r="J107" s="516"/>
      <c r="K107" s="512"/>
      <c r="L107" s="512"/>
      <c r="M107" s="512"/>
      <c r="N107" s="512"/>
      <c r="O107" s="512"/>
      <c r="Q107" s="517"/>
    </row>
    <row r="108" spans="7:17">
      <c r="G108" s="512"/>
      <c r="H108" s="512"/>
      <c r="I108" s="512"/>
      <c r="J108" s="516"/>
      <c r="K108" s="512"/>
      <c r="L108" s="512"/>
      <c r="M108" s="512"/>
      <c r="N108" s="512"/>
      <c r="O108" s="512"/>
      <c r="Q108" s="517"/>
    </row>
    <row r="109" spans="7:17">
      <c r="G109" s="512"/>
      <c r="H109" s="512"/>
      <c r="I109" s="512"/>
      <c r="J109" s="516"/>
      <c r="K109" s="512"/>
      <c r="L109" s="512"/>
      <c r="M109" s="512"/>
      <c r="N109" s="512"/>
      <c r="O109" s="512"/>
      <c r="Q109" s="517"/>
    </row>
    <row r="110" spans="7:17">
      <c r="G110" s="512"/>
      <c r="H110" s="512"/>
      <c r="I110" s="512"/>
      <c r="J110" s="512"/>
      <c r="K110" s="512"/>
      <c r="L110" s="512"/>
      <c r="M110" s="512"/>
      <c r="N110" s="512"/>
      <c r="O110" s="512"/>
      <c r="Q110" s="517"/>
    </row>
    <row r="111" spans="7:17">
      <c r="G111" s="512"/>
      <c r="H111" s="512"/>
      <c r="I111" s="512"/>
      <c r="J111" s="135"/>
      <c r="K111" s="512"/>
      <c r="L111" s="512"/>
      <c r="M111" s="512"/>
      <c r="N111" s="512"/>
      <c r="O111" s="512"/>
      <c r="Q111" s="517"/>
    </row>
    <row r="112" spans="7:17">
      <c r="G112" s="512"/>
      <c r="H112" s="512"/>
      <c r="I112" s="512"/>
      <c r="J112" s="516"/>
      <c r="K112" s="512"/>
      <c r="L112" s="512"/>
      <c r="M112" s="512"/>
      <c r="N112" s="512"/>
      <c r="O112" s="512"/>
      <c r="Q112" s="517"/>
    </row>
    <row r="113" spans="7:17">
      <c r="G113" s="512"/>
      <c r="H113" s="512"/>
      <c r="I113" s="512"/>
      <c r="J113" s="516"/>
      <c r="K113" s="512"/>
      <c r="L113" s="512"/>
      <c r="M113" s="512"/>
      <c r="N113" s="512"/>
      <c r="O113" s="512"/>
      <c r="Q113" s="517"/>
    </row>
    <row r="114" spans="7:17">
      <c r="G114" s="512"/>
      <c r="H114" s="512"/>
      <c r="I114" s="512"/>
      <c r="J114" s="516"/>
      <c r="K114" s="512"/>
      <c r="L114" s="512"/>
      <c r="M114" s="512"/>
      <c r="N114" s="512"/>
      <c r="O114" s="512"/>
      <c r="Q114" s="517"/>
    </row>
    <row r="115" spans="7:17">
      <c r="G115" s="512"/>
      <c r="H115" s="512"/>
      <c r="I115" s="512"/>
      <c r="J115" s="516"/>
      <c r="K115" s="512"/>
      <c r="L115" s="512"/>
      <c r="M115" s="512"/>
      <c r="N115" s="512"/>
      <c r="O115" s="512"/>
      <c r="Q115" s="517"/>
    </row>
    <row r="116" spans="7:17">
      <c r="G116" s="512"/>
      <c r="H116" s="512"/>
      <c r="I116" s="512"/>
      <c r="J116" s="525"/>
      <c r="K116" s="512"/>
      <c r="L116" s="512"/>
      <c r="M116" s="512"/>
      <c r="N116" s="512"/>
      <c r="O116" s="512"/>
      <c r="Q116" s="517"/>
    </row>
    <row r="117" spans="7:17">
      <c r="G117" s="512"/>
      <c r="H117" s="512"/>
      <c r="I117" s="512"/>
      <c r="J117" s="516"/>
      <c r="K117" s="512"/>
      <c r="L117" s="512"/>
      <c r="M117" s="512"/>
      <c r="N117" s="512"/>
      <c r="O117" s="512"/>
      <c r="Q117" s="517"/>
    </row>
    <row r="118" spans="7:17">
      <c r="G118" s="512"/>
      <c r="H118" s="512"/>
      <c r="I118" s="512"/>
      <c r="J118" s="516"/>
      <c r="K118" s="512"/>
      <c r="L118" s="512"/>
      <c r="M118" s="512"/>
      <c r="N118" s="512"/>
      <c r="O118" s="512"/>
      <c r="Q118" s="517"/>
    </row>
    <row r="119" spans="7:17">
      <c r="G119" s="512"/>
      <c r="H119" s="512"/>
      <c r="I119" s="512"/>
      <c r="J119" s="516"/>
      <c r="K119" s="512"/>
      <c r="L119" s="512"/>
      <c r="M119" s="512"/>
      <c r="N119" s="512"/>
      <c r="O119" s="512"/>
      <c r="Q119" s="517"/>
    </row>
    <row r="120" spans="7:17">
      <c r="K120" s="512"/>
      <c r="L120" s="512"/>
      <c r="M120" s="512"/>
      <c r="N120" s="512"/>
      <c r="O120" s="512"/>
      <c r="Q120" s="517"/>
    </row>
    <row r="121" spans="7:17">
      <c r="G121" s="512"/>
      <c r="H121" s="512"/>
      <c r="I121" s="512"/>
      <c r="J121" s="512"/>
      <c r="K121" s="512"/>
      <c r="L121" s="512"/>
      <c r="M121" s="512"/>
      <c r="N121" s="512"/>
      <c r="O121" s="512"/>
      <c r="Q121" s="517"/>
    </row>
    <row r="122" spans="7:17">
      <c r="G122" s="512"/>
      <c r="H122" s="512"/>
      <c r="I122" s="512"/>
      <c r="J122" s="512"/>
      <c r="K122" s="512"/>
      <c r="L122" s="512"/>
      <c r="M122" s="512"/>
      <c r="N122" s="512"/>
      <c r="O122" s="512"/>
      <c r="Q122" s="517"/>
    </row>
    <row r="123" spans="7:17">
      <c r="G123" s="512"/>
      <c r="H123" s="512"/>
      <c r="I123" s="512"/>
      <c r="J123" s="512"/>
      <c r="K123" s="512"/>
      <c r="L123" s="512"/>
      <c r="M123" s="512"/>
      <c r="N123" s="512"/>
      <c r="O123" s="512"/>
      <c r="Q123" s="517"/>
    </row>
    <row r="124" spans="7:17">
      <c r="G124" s="512"/>
      <c r="H124" s="512"/>
      <c r="I124" s="512"/>
      <c r="J124" s="512"/>
      <c r="K124" s="512"/>
      <c r="L124" s="512"/>
      <c r="M124" s="512"/>
      <c r="N124" s="512"/>
      <c r="O124" s="512"/>
      <c r="Q124" s="517"/>
    </row>
    <row r="125" spans="7:17">
      <c r="G125" s="512"/>
      <c r="H125" s="512"/>
      <c r="I125" s="512"/>
      <c r="J125" s="512"/>
      <c r="K125" s="512"/>
      <c r="L125" s="512"/>
      <c r="M125" s="512"/>
      <c r="N125" s="512"/>
      <c r="O125" s="512"/>
      <c r="Q125" s="517"/>
    </row>
    <row r="126" spans="7:17">
      <c r="G126" s="512"/>
      <c r="H126" s="512"/>
      <c r="I126" s="512"/>
      <c r="J126" s="512"/>
      <c r="K126" s="512"/>
      <c r="L126" s="512"/>
      <c r="M126" s="512"/>
      <c r="N126" s="512"/>
      <c r="O126" s="512"/>
      <c r="Q126" s="517"/>
    </row>
    <row r="127" spans="7:17">
      <c r="G127" s="512"/>
      <c r="H127" s="512"/>
      <c r="I127" s="512"/>
      <c r="J127" s="512"/>
      <c r="K127" s="512"/>
      <c r="L127" s="512"/>
      <c r="M127" s="512"/>
      <c r="N127" s="512"/>
      <c r="O127" s="512"/>
      <c r="Q127" s="517"/>
    </row>
    <row r="128" spans="7:17">
      <c r="G128" s="512"/>
      <c r="H128" s="512"/>
      <c r="I128" s="512"/>
      <c r="J128" s="512"/>
      <c r="K128" s="512"/>
      <c r="L128" s="512"/>
      <c r="M128" s="512"/>
      <c r="N128" s="512"/>
      <c r="O128" s="512"/>
      <c r="Q128" s="517"/>
    </row>
    <row r="129" spans="7:17">
      <c r="G129" s="512"/>
      <c r="H129" s="512"/>
      <c r="I129" s="512"/>
      <c r="J129" s="512"/>
      <c r="K129" s="512"/>
      <c r="L129" s="512"/>
      <c r="M129" s="512"/>
      <c r="N129" s="512"/>
      <c r="O129" s="512"/>
      <c r="Q129" s="517"/>
    </row>
    <row r="130" spans="7:17">
      <c r="G130" s="512"/>
      <c r="H130" s="512"/>
      <c r="I130" s="512"/>
      <c r="J130" s="512"/>
      <c r="K130" s="512"/>
      <c r="L130" s="512"/>
      <c r="M130" s="512"/>
      <c r="N130" s="512"/>
      <c r="O130" s="512"/>
      <c r="Q130" s="517"/>
    </row>
    <row r="131" spans="7:17">
      <c r="G131" s="512"/>
      <c r="H131" s="512"/>
      <c r="I131" s="512"/>
      <c r="J131" s="512"/>
      <c r="K131" s="512"/>
      <c r="L131" s="512"/>
      <c r="M131" s="512"/>
      <c r="N131" s="512"/>
      <c r="O131" s="512"/>
      <c r="Q131" s="517"/>
    </row>
    <row r="132" spans="7:17">
      <c r="G132" s="512"/>
      <c r="H132" s="512"/>
      <c r="I132" s="512"/>
      <c r="J132" s="512"/>
      <c r="K132" s="512"/>
      <c r="L132" s="512"/>
      <c r="M132" s="512"/>
      <c r="N132" s="512"/>
      <c r="O132" s="512"/>
      <c r="Q132" s="517"/>
    </row>
    <row r="133" spans="7:17">
      <c r="G133" s="512"/>
      <c r="H133" s="512"/>
      <c r="I133" s="512"/>
      <c r="J133" s="512"/>
      <c r="K133" s="512"/>
      <c r="L133" s="512"/>
      <c r="M133" s="512"/>
      <c r="N133" s="512"/>
      <c r="O133" s="512"/>
      <c r="Q133" s="517"/>
    </row>
    <row r="134" spans="7:17">
      <c r="G134" s="512"/>
      <c r="H134" s="512"/>
      <c r="I134" s="512"/>
      <c r="J134" s="512"/>
      <c r="K134" s="512"/>
      <c r="L134" s="512"/>
      <c r="M134" s="512"/>
      <c r="N134" s="512"/>
      <c r="O134" s="512"/>
      <c r="Q134" s="517"/>
    </row>
    <row r="135" spans="7:17">
      <c r="G135" s="512"/>
      <c r="H135" s="512"/>
      <c r="I135" s="512"/>
      <c r="J135" s="512"/>
      <c r="K135" s="512"/>
      <c r="L135" s="512"/>
      <c r="M135" s="512"/>
      <c r="N135" s="512"/>
      <c r="O135" s="512"/>
      <c r="Q135" s="517"/>
    </row>
    <row r="136" spans="7:17">
      <c r="G136" s="512"/>
      <c r="H136" s="512"/>
      <c r="I136" s="512"/>
      <c r="J136" s="512"/>
      <c r="K136" s="512"/>
      <c r="L136" s="512"/>
      <c r="M136" s="512"/>
      <c r="N136" s="512"/>
      <c r="O136" s="512"/>
      <c r="Q136" s="517"/>
    </row>
    <row r="137" spans="7:17">
      <c r="G137" s="512"/>
      <c r="H137" s="512"/>
      <c r="I137" s="512"/>
      <c r="J137" s="512"/>
      <c r="K137" s="512"/>
      <c r="L137" s="512"/>
      <c r="M137" s="512"/>
      <c r="N137" s="512"/>
      <c r="O137" s="512"/>
      <c r="Q137" s="517"/>
    </row>
    <row r="138" spans="7:17">
      <c r="G138" s="512"/>
      <c r="H138" s="512"/>
      <c r="I138" s="512"/>
      <c r="J138" s="512"/>
      <c r="K138" s="512"/>
      <c r="L138" s="512"/>
      <c r="M138" s="512"/>
      <c r="N138" s="512"/>
      <c r="O138" s="512"/>
      <c r="Q138" s="517"/>
    </row>
    <row r="139" spans="7:17">
      <c r="G139" s="512"/>
      <c r="H139" s="512"/>
      <c r="I139" s="512"/>
      <c r="J139" s="512"/>
      <c r="K139" s="512"/>
      <c r="L139" s="512"/>
      <c r="M139" s="512"/>
      <c r="N139" s="512"/>
      <c r="O139" s="512"/>
      <c r="Q139" s="517"/>
    </row>
    <row r="140" spans="7:17">
      <c r="G140" s="512"/>
      <c r="H140" s="512"/>
      <c r="I140" s="512"/>
      <c r="J140" s="512"/>
      <c r="K140" s="512"/>
      <c r="L140" s="512"/>
      <c r="M140" s="512"/>
      <c r="N140" s="512"/>
      <c r="O140" s="512"/>
      <c r="Q140" s="517"/>
    </row>
    <row r="141" spans="7:17">
      <c r="G141" s="512"/>
      <c r="H141" s="512"/>
      <c r="I141" s="512"/>
      <c r="J141" s="512"/>
      <c r="K141" s="512"/>
      <c r="L141" s="512"/>
      <c r="M141" s="512"/>
      <c r="N141" s="512"/>
      <c r="O141" s="512"/>
      <c r="Q141" s="517"/>
    </row>
    <row r="142" spans="7:17">
      <c r="G142" s="512"/>
      <c r="H142" s="512"/>
      <c r="I142" s="512"/>
      <c r="J142" s="512"/>
      <c r="K142" s="512"/>
      <c r="L142" s="512"/>
      <c r="M142" s="512"/>
      <c r="N142" s="512"/>
      <c r="O142" s="512"/>
      <c r="Q142" s="517"/>
    </row>
    <row r="143" spans="7:17">
      <c r="G143" s="512"/>
      <c r="H143" s="512"/>
      <c r="I143" s="512"/>
      <c r="J143" s="512"/>
      <c r="K143" s="512"/>
      <c r="L143" s="512"/>
      <c r="M143" s="512"/>
      <c r="N143" s="512"/>
      <c r="O143" s="512"/>
      <c r="Q143" s="517"/>
    </row>
    <row r="144" spans="7:17">
      <c r="G144" s="512"/>
      <c r="H144" s="512"/>
      <c r="I144" s="512"/>
      <c r="J144" s="512"/>
      <c r="K144" s="512"/>
      <c r="L144" s="512"/>
      <c r="M144" s="512"/>
      <c r="N144" s="512"/>
      <c r="O144" s="512"/>
      <c r="Q144" s="517"/>
    </row>
    <row r="145" spans="7:17">
      <c r="G145" s="512"/>
      <c r="H145" s="512"/>
      <c r="I145" s="512"/>
      <c r="J145" s="512"/>
      <c r="K145" s="512"/>
      <c r="L145" s="512"/>
      <c r="M145" s="512"/>
      <c r="N145" s="512"/>
      <c r="O145" s="512"/>
      <c r="Q145" s="517"/>
    </row>
    <row r="146" spans="7:17">
      <c r="G146" s="512"/>
      <c r="H146" s="512"/>
      <c r="I146" s="512"/>
      <c r="J146" s="512"/>
      <c r="K146" s="512"/>
      <c r="L146" s="512"/>
      <c r="M146" s="512"/>
      <c r="N146" s="512"/>
      <c r="O146" s="512"/>
      <c r="Q146" s="517"/>
    </row>
    <row r="147" spans="7:17">
      <c r="G147" s="512"/>
      <c r="H147" s="512"/>
      <c r="I147" s="512"/>
      <c r="J147" s="512"/>
      <c r="K147" s="512"/>
      <c r="L147" s="512"/>
      <c r="M147" s="512"/>
      <c r="N147" s="512"/>
      <c r="O147" s="512"/>
      <c r="Q147" s="517"/>
    </row>
    <row r="148" spans="7:17">
      <c r="G148" s="512"/>
      <c r="H148" s="512"/>
      <c r="I148" s="512"/>
      <c r="J148" s="512"/>
      <c r="K148" s="512"/>
      <c r="L148" s="512"/>
      <c r="M148" s="512"/>
      <c r="N148" s="512"/>
      <c r="O148" s="512"/>
      <c r="Q148" s="517"/>
    </row>
    <row r="149" spans="7:17">
      <c r="G149" s="512"/>
      <c r="H149" s="512"/>
      <c r="I149" s="512"/>
      <c r="J149" s="512"/>
      <c r="K149" s="512"/>
      <c r="L149" s="512"/>
      <c r="M149" s="512"/>
      <c r="N149" s="512"/>
      <c r="O149" s="512"/>
      <c r="Q149" s="517"/>
    </row>
    <row r="150" spans="7:17">
      <c r="G150" s="512"/>
      <c r="H150" s="512"/>
      <c r="I150" s="512"/>
      <c r="J150" s="512"/>
      <c r="K150" s="512"/>
      <c r="L150" s="512"/>
      <c r="M150" s="512"/>
      <c r="N150" s="512"/>
      <c r="O150" s="512"/>
      <c r="Q150" s="517"/>
    </row>
    <row r="151" spans="7:17">
      <c r="G151" s="512"/>
      <c r="H151" s="512"/>
      <c r="I151" s="512"/>
      <c r="J151" s="512"/>
      <c r="K151" s="512"/>
      <c r="L151" s="512"/>
      <c r="M151" s="512"/>
      <c r="N151" s="512"/>
      <c r="O151" s="512"/>
      <c r="Q151" s="517"/>
    </row>
    <row r="152" spans="7:17">
      <c r="G152" s="512"/>
      <c r="H152" s="512"/>
      <c r="I152" s="512"/>
      <c r="J152" s="512"/>
      <c r="K152" s="512"/>
      <c r="L152" s="512"/>
      <c r="M152" s="512"/>
      <c r="N152" s="512"/>
      <c r="O152" s="512"/>
      <c r="Q152" s="517"/>
    </row>
    <row r="153" spans="7:17">
      <c r="G153" s="512"/>
      <c r="H153" s="512"/>
      <c r="I153" s="512"/>
      <c r="J153" s="512"/>
      <c r="K153" s="512"/>
      <c r="L153" s="512"/>
      <c r="M153" s="512"/>
      <c r="N153" s="512"/>
      <c r="O153" s="512"/>
      <c r="Q153" s="517"/>
    </row>
    <row r="154" spans="7:17">
      <c r="G154" s="512"/>
      <c r="H154" s="512"/>
      <c r="I154" s="512"/>
      <c r="J154" s="512"/>
      <c r="K154" s="512"/>
      <c r="L154" s="512"/>
      <c r="M154" s="512"/>
      <c r="N154" s="512"/>
      <c r="O154" s="512"/>
      <c r="Q154" s="517"/>
    </row>
    <row r="155" spans="7:17">
      <c r="K155" s="512"/>
      <c r="L155" s="512"/>
      <c r="M155" s="512"/>
      <c r="N155" s="512"/>
      <c r="O155" s="512"/>
      <c r="Q155" s="517"/>
    </row>
    <row r="156" spans="7:17">
      <c r="K156" s="512"/>
      <c r="L156" s="512"/>
      <c r="M156" s="512"/>
      <c r="N156" s="512"/>
      <c r="O156" s="512"/>
      <c r="Q156" s="517"/>
    </row>
    <row r="157" spans="7:17">
      <c r="K157" s="512"/>
      <c r="L157" s="512"/>
      <c r="M157" s="512"/>
      <c r="N157" s="512"/>
      <c r="O157" s="512"/>
      <c r="Q157" s="517"/>
    </row>
    <row r="158" spans="7:17">
      <c r="K158" s="512"/>
      <c r="L158" s="512"/>
      <c r="M158" s="512"/>
      <c r="N158" s="512"/>
      <c r="O158" s="512"/>
      <c r="Q158" s="517"/>
    </row>
    <row r="159" spans="7:17">
      <c r="K159" s="512"/>
      <c r="L159" s="512"/>
      <c r="M159" s="512"/>
      <c r="N159" s="512"/>
      <c r="O159" s="512"/>
      <c r="Q159" s="517"/>
    </row>
    <row r="160" spans="7:17">
      <c r="K160" s="512"/>
      <c r="L160" s="512"/>
      <c r="M160" s="512"/>
      <c r="N160" s="512"/>
      <c r="O160" s="512"/>
      <c r="Q160" s="517"/>
    </row>
    <row r="161" spans="11:17">
      <c r="K161" s="512"/>
      <c r="L161" s="512"/>
      <c r="M161" s="512"/>
      <c r="N161" s="512"/>
      <c r="O161" s="512"/>
      <c r="Q161" s="517"/>
    </row>
    <row r="162" spans="11:17">
      <c r="K162" s="512"/>
      <c r="L162" s="512"/>
      <c r="M162" s="512"/>
      <c r="N162" s="512"/>
      <c r="O162" s="512"/>
      <c r="Q162" s="517"/>
    </row>
    <row r="163" spans="11:17">
      <c r="K163" s="512"/>
      <c r="L163" s="512"/>
      <c r="M163" s="512"/>
      <c r="N163" s="512"/>
      <c r="O163" s="512"/>
      <c r="Q163" s="517"/>
    </row>
  </sheetData>
  <mergeCells count="1">
    <mergeCell ref="T4:W7"/>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A1:AA26"/>
  <sheetViews>
    <sheetView zoomScale="85" zoomScaleNormal="85" workbookViewId="0">
      <pane xSplit="1" ySplit="1" topLeftCell="B2" activePane="bottomRight" state="frozen"/>
      <selection pane="bottomRight" activeCell="C5" sqref="C5"/>
      <selection pane="bottomLeft"/>
      <selection pane="topRight"/>
    </sheetView>
  </sheetViews>
  <sheetFormatPr defaultColWidth="8.625" defaultRowHeight="15.75"/>
  <cols>
    <col min="1" max="1" width="6.5" style="34" bestFit="1" customWidth="1"/>
    <col min="2" max="2" width="16.125" style="34" bestFit="1" customWidth="1"/>
    <col min="3" max="3" width="19.125" style="46" customWidth="1"/>
    <col min="4" max="4" width="19.125" style="35" customWidth="1"/>
    <col min="5" max="5" width="21.5" style="34" bestFit="1" customWidth="1"/>
    <col min="6" max="6" width="22" style="21" bestFit="1" customWidth="1"/>
    <col min="7" max="7" width="40.625" style="13" customWidth="1"/>
    <col min="8" max="8" width="43.125" style="44" customWidth="1"/>
    <col min="9" max="9" width="15.125" style="44" customWidth="1"/>
    <col min="10" max="10" width="19" style="13" bestFit="1" customWidth="1"/>
    <col min="11" max="11" width="19.625" style="13" bestFit="1" customWidth="1"/>
    <col min="12" max="12" width="13.375" style="13" bestFit="1" customWidth="1"/>
    <col min="13" max="13" width="18.625" style="13" bestFit="1" customWidth="1"/>
    <col min="14" max="14" width="21.625" style="13" bestFit="1" customWidth="1"/>
    <col min="15" max="15" width="21" style="13" bestFit="1" customWidth="1"/>
    <col min="16" max="16" width="34.5" style="13" bestFit="1" customWidth="1"/>
    <col min="17" max="17" width="12.625" style="44" bestFit="1" customWidth="1"/>
    <col min="18" max="18" width="25.625" style="13" bestFit="1" customWidth="1"/>
    <col min="19" max="19" width="15.875" style="13" bestFit="1" customWidth="1"/>
    <col min="20" max="20" width="16.625" style="13" bestFit="1" customWidth="1"/>
    <col min="21" max="22" width="16.625" style="21" bestFit="1" customWidth="1"/>
    <col min="23" max="16384" width="8.625" style="21"/>
  </cols>
  <sheetData>
    <row r="1" spans="1:27" s="16" customFormat="1" ht="47.25">
      <c r="A1" s="28" t="s">
        <v>161</v>
      </c>
      <c r="B1" s="29" t="s">
        <v>2068</v>
      </c>
      <c r="C1" s="29" t="s">
        <v>163</v>
      </c>
      <c r="D1" s="29" t="s">
        <v>164</v>
      </c>
      <c r="E1" s="29" t="s">
        <v>165</v>
      </c>
      <c r="F1" s="29" t="s">
        <v>166</v>
      </c>
      <c r="G1" s="29" t="s">
        <v>2069</v>
      </c>
      <c r="H1" s="29" t="s">
        <v>2070</v>
      </c>
      <c r="I1" s="29" t="s">
        <v>2071</v>
      </c>
      <c r="J1" s="36" t="s">
        <v>167</v>
      </c>
      <c r="K1" s="36" t="s">
        <v>168</v>
      </c>
      <c r="L1" s="36" t="s">
        <v>2072</v>
      </c>
      <c r="M1" s="36" t="s">
        <v>172</v>
      </c>
      <c r="N1" s="36" t="s">
        <v>174</v>
      </c>
      <c r="O1" s="36" t="s">
        <v>2073</v>
      </c>
      <c r="P1" s="36" t="s">
        <v>2074</v>
      </c>
      <c r="Q1" s="36" t="s">
        <v>2075</v>
      </c>
      <c r="R1" s="36" t="s">
        <v>177</v>
      </c>
      <c r="S1" s="36" t="s">
        <v>178</v>
      </c>
      <c r="T1" s="36" t="s">
        <v>180</v>
      </c>
      <c r="U1" s="22" t="s">
        <v>181</v>
      </c>
      <c r="V1" s="22" t="s">
        <v>182</v>
      </c>
      <c r="W1" s="22" t="s">
        <v>183</v>
      </c>
    </row>
    <row r="2" spans="1:27" s="20" customFormat="1" ht="120" customHeight="1">
      <c r="A2" s="33" t="s">
        <v>2076</v>
      </c>
      <c r="B2" s="31" t="s">
        <v>2077</v>
      </c>
      <c r="C2" s="824">
        <v>44629</v>
      </c>
      <c r="D2" s="31" t="s">
        <v>292</v>
      </c>
      <c r="E2" s="31" t="s">
        <v>2078</v>
      </c>
      <c r="F2" s="86" t="s">
        <v>2079</v>
      </c>
      <c r="G2" s="88" t="s">
        <v>194</v>
      </c>
      <c r="H2" s="88" t="s">
        <v>194</v>
      </c>
      <c r="I2" s="88" t="s">
        <v>194</v>
      </c>
      <c r="J2" s="827">
        <v>2000000000</v>
      </c>
      <c r="K2" s="88" t="s">
        <v>260</v>
      </c>
      <c r="L2" s="88" t="s">
        <v>194</v>
      </c>
      <c r="M2" s="88" t="s">
        <v>194</v>
      </c>
      <c r="N2" s="88" t="s">
        <v>194</v>
      </c>
      <c r="O2" s="88" t="s">
        <v>194</v>
      </c>
      <c r="P2" s="88" t="s">
        <v>194</v>
      </c>
      <c r="Q2" s="88" t="s">
        <v>194</v>
      </c>
      <c r="R2" s="827">
        <f>J2</f>
        <v>2000000000</v>
      </c>
      <c r="S2" s="37">
        <f>R2/VLOOKUP(K2,'Currency Conversion'!$B$2:$C$16,2,0)</f>
        <v>1893939393.9393938</v>
      </c>
      <c r="T2" s="88" t="s">
        <v>195</v>
      </c>
      <c r="U2" s="24" t="s">
        <v>2080</v>
      </c>
      <c r="V2" s="24" t="s">
        <v>2081</v>
      </c>
      <c r="W2" s="72" t="s">
        <v>2082</v>
      </c>
      <c r="X2" s="61"/>
      <c r="Y2" s="61"/>
      <c r="Z2" s="61"/>
      <c r="AA2" s="61"/>
    </row>
    <row r="3" spans="1:27" s="20" customFormat="1" ht="84.75" customHeight="1">
      <c r="A3" s="30" t="s">
        <v>2083</v>
      </c>
      <c r="B3" s="31" t="s">
        <v>2084</v>
      </c>
      <c r="C3" s="824">
        <v>44629</v>
      </c>
      <c r="D3" s="31" t="s">
        <v>292</v>
      </c>
      <c r="E3" s="31" t="s">
        <v>2085</v>
      </c>
      <c r="F3" s="23" t="s">
        <v>2086</v>
      </c>
      <c r="G3" s="88" t="s">
        <v>194</v>
      </c>
      <c r="H3" s="88" t="s">
        <v>194</v>
      </c>
      <c r="I3" s="88" t="s">
        <v>194</v>
      </c>
      <c r="J3" s="827">
        <v>1400000000</v>
      </c>
      <c r="K3" s="88" t="s">
        <v>260</v>
      </c>
      <c r="L3" s="88" t="s">
        <v>194</v>
      </c>
      <c r="M3" s="88" t="s">
        <v>194</v>
      </c>
      <c r="N3" s="88" t="s">
        <v>194</v>
      </c>
      <c r="O3" s="88" t="s">
        <v>194</v>
      </c>
      <c r="P3" s="88" t="s">
        <v>194</v>
      </c>
      <c r="Q3" s="88" t="s">
        <v>194</v>
      </c>
      <c r="R3" s="827">
        <f>J3</f>
        <v>1400000000</v>
      </c>
      <c r="S3" s="37">
        <f>R3/VLOOKUP(K3,'Currency Conversion'!$B$2:$C$16,2,0)</f>
        <v>1325757575.7575758</v>
      </c>
      <c r="T3" s="88" t="s">
        <v>195</v>
      </c>
      <c r="U3" s="24" t="s">
        <v>2087</v>
      </c>
      <c r="V3" s="24" t="s">
        <v>2088</v>
      </c>
      <c r="W3" s="23" t="s">
        <v>194</v>
      </c>
      <c r="X3" s="61"/>
      <c r="Y3" s="61"/>
      <c r="Z3" s="61"/>
      <c r="AA3" s="61"/>
    </row>
    <row r="4" spans="1:27" s="20" customFormat="1" ht="95.25" customHeight="1">
      <c r="A4" s="30" t="s">
        <v>2089</v>
      </c>
      <c r="B4" s="31" t="s">
        <v>2084</v>
      </c>
      <c r="C4" s="824">
        <v>44659</v>
      </c>
      <c r="D4" s="31" t="s">
        <v>292</v>
      </c>
      <c r="E4" s="31" t="s">
        <v>2090</v>
      </c>
      <c r="F4" s="23" t="s">
        <v>2091</v>
      </c>
      <c r="G4" s="88" t="s">
        <v>350</v>
      </c>
      <c r="H4" s="827">
        <v>1000000000</v>
      </c>
      <c r="I4" s="39" t="s">
        <v>353</v>
      </c>
      <c r="J4" s="827">
        <v>1000000000</v>
      </c>
      <c r="K4" s="88" t="s">
        <v>353</v>
      </c>
      <c r="L4" s="88" t="s">
        <v>194</v>
      </c>
      <c r="M4" s="88" t="s">
        <v>194</v>
      </c>
      <c r="N4" s="88" t="s">
        <v>194</v>
      </c>
      <c r="O4" s="88" t="s">
        <v>194</v>
      </c>
      <c r="P4" s="88" t="s">
        <v>194</v>
      </c>
      <c r="Q4" s="88" t="s">
        <v>194</v>
      </c>
      <c r="R4" s="827">
        <f>J4</f>
        <v>1000000000</v>
      </c>
      <c r="S4" s="37">
        <f>R4/VLOOKUP(K4,'Currency Conversion'!$B$2:$C$16,2,0)</f>
        <v>738825267.82415962</v>
      </c>
      <c r="T4" s="88" t="s">
        <v>195</v>
      </c>
      <c r="U4" s="24" t="s">
        <v>2092</v>
      </c>
      <c r="V4" s="24" t="s">
        <v>2093</v>
      </c>
      <c r="W4" s="24" t="s">
        <v>2094</v>
      </c>
      <c r="X4" s="61"/>
      <c r="Y4" s="61"/>
      <c r="Z4" s="61"/>
      <c r="AA4" s="61"/>
    </row>
    <row r="5" spans="1:27" s="20" customFormat="1" ht="94.5" customHeight="1">
      <c r="A5" s="30" t="s">
        <v>2095</v>
      </c>
      <c r="B5" s="31" t="s">
        <v>2096</v>
      </c>
      <c r="C5" s="824" t="s">
        <v>2097</v>
      </c>
      <c r="D5" s="31" t="s">
        <v>190</v>
      </c>
      <c r="E5" s="31" t="s">
        <v>2098</v>
      </c>
      <c r="F5" s="23" t="s">
        <v>2099</v>
      </c>
      <c r="G5" s="88" t="s">
        <v>194</v>
      </c>
      <c r="H5" s="88" t="s">
        <v>194</v>
      </c>
      <c r="I5" s="88" t="s">
        <v>194</v>
      </c>
      <c r="J5" s="88" t="s">
        <v>194</v>
      </c>
      <c r="K5" s="88" t="s">
        <v>194</v>
      </c>
      <c r="L5" s="88" t="s">
        <v>194</v>
      </c>
      <c r="M5" s="88" t="s">
        <v>194</v>
      </c>
      <c r="N5" s="88" t="s">
        <v>194</v>
      </c>
      <c r="O5" s="88" t="s">
        <v>194</v>
      </c>
      <c r="P5" s="88" t="s">
        <v>194</v>
      </c>
      <c r="Q5" s="88" t="s">
        <v>194</v>
      </c>
      <c r="R5" s="88" t="s">
        <v>194</v>
      </c>
      <c r="S5" s="38" t="s">
        <v>21</v>
      </c>
      <c r="T5" s="88" t="s">
        <v>195</v>
      </c>
      <c r="U5" s="612" t="s">
        <v>2100</v>
      </c>
      <c r="V5" s="26" t="s">
        <v>194</v>
      </c>
      <c r="W5" s="26" t="s">
        <v>194</v>
      </c>
      <c r="X5" s="61"/>
      <c r="Y5" s="61"/>
      <c r="Z5" s="61"/>
      <c r="AA5" s="61"/>
    </row>
    <row r="6" spans="1:27" s="20" customFormat="1" ht="84" customHeight="1">
      <c r="A6" s="32" t="s">
        <v>2101</v>
      </c>
      <c r="B6" s="31" t="s">
        <v>2102</v>
      </c>
      <c r="C6" s="824">
        <v>44616</v>
      </c>
      <c r="D6" s="31" t="s">
        <v>292</v>
      </c>
      <c r="E6" s="31" t="s">
        <v>2103</v>
      </c>
      <c r="F6" s="25" t="s">
        <v>2104</v>
      </c>
      <c r="G6" s="88" t="s">
        <v>194</v>
      </c>
      <c r="H6" s="88" t="s">
        <v>194</v>
      </c>
      <c r="I6" s="88" t="s">
        <v>194</v>
      </c>
      <c r="J6" s="827">
        <v>20000000</v>
      </c>
      <c r="K6" s="88" t="s">
        <v>260</v>
      </c>
      <c r="L6" s="88" t="s">
        <v>194</v>
      </c>
      <c r="M6" s="88" t="s">
        <v>194</v>
      </c>
      <c r="N6" s="88" t="s">
        <v>194</v>
      </c>
      <c r="O6" s="88" t="s">
        <v>194</v>
      </c>
      <c r="P6" s="88" t="s">
        <v>194</v>
      </c>
      <c r="Q6" s="88" t="s">
        <v>194</v>
      </c>
      <c r="R6" s="827">
        <f>J6</f>
        <v>20000000</v>
      </c>
      <c r="S6" s="37">
        <f>R6/VLOOKUP(K6,'Currency Conversion'!$B$2:$C$16,2,0)</f>
        <v>18939393.939393938</v>
      </c>
      <c r="T6" s="87" t="s">
        <v>195</v>
      </c>
      <c r="U6" s="609" t="s">
        <v>2105</v>
      </c>
      <c r="V6" s="26" t="s">
        <v>194</v>
      </c>
      <c r="W6" s="26" t="s">
        <v>194</v>
      </c>
      <c r="X6" s="61"/>
      <c r="Y6" s="61"/>
      <c r="Z6" s="61"/>
      <c r="AA6" s="61"/>
    </row>
    <row r="7" spans="1:27" s="20" customFormat="1" ht="66.75" customHeight="1">
      <c r="A7" s="33" t="s">
        <v>2106</v>
      </c>
      <c r="B7" s="31" t="s">
        <v>2102</v>
      </c>
      <c r="C7" s="824">
        <v>44621</v>
      </c>
      <c r="D7" s="31" t="s">
        <v>292</v>
      </c>
      <c r="E7" s="31" t="s">
        <v>276</v>
      </c>
      <c r="F7" s="23" t="s">
        <v>2107</v>
      </c>
      <c r="G7" s="88" t="s">
        <v>194</v>
      </c>
      <c r="H7" s="88" t="s">
        <v>194</v>
      </c>
      <c r="I7" s="88" t="s">
        <v>194</v>
      </c>
      <c r="J7" s="827">
        <v>20000000</v>
      </c>
      <c r="K7" s="88" t="s">
        <v>260</v>
      </c>
      <c r="L7" s="88" t="s">
        <v>194</v>
      </c>
      <c r="M7" s="88" t="s">
        <v>194</v>
      </c>
      <c r="N7" s="88" t="s">
        <v>194</v>
      </c>
      <c r="O7" s="88" t="s">
        <v>194</v>
      </c>
      <c r="P7" s="88" t="s">
        <v>194</v>
      </c>
      <c r="Q7" s="88" t="s">
        <v>194</v>
      </c>
      <c r="R7" s="827">
        <f>J7</f>
        <v>20000000</v>
      </c>
      <c r="S7" s="37">
        <f>R7/VLOOKUP(K7,'Currency Conversion'!$B$2:$C$16,2,0)</f>
        <v>18939393.939393938</v>
      </c>
      <c r="T7" s="40" t="s">
        <v>195</v>
      </c>
      <c r="U7" s="609" t="s">
        <v>2105</v>
      </c>
      <c r="V7" s="26" t="s">
        <v>194</v>
      </c>
      <c r="W7" s="23" t="s">
        <v>194</v>
      </c>
      <c r="X7" s="61"/>
      <c r="Y7" s="61"/>
      <c r="Z7" s="61"/>
      <c r="AA7" s="61"/>
    </row>
    <row r="8" spans="1:27" s="20" customFormat="1" ht="126">
      <c r="A8" s="823" t="s">
        <v>2108</v>
      </c>
      <c r="B8" s="823" t="s">
        <v>2102</v>
      </c>
      <c r="C8" s="824">
        <v>44621</v>
      </c>
      <c r="D8" s="823" t="s">
        <v>292</v>
      </c>
      <c r="E8" s="823" t="s">
        <v>2103</v>
      </c>
      <c r="F8" s="752" t="s">
        <v>2109</v>
      </c>
      <c r="G8" s="88" t="s">
        <v>194</v>
      </c>
      <c r="H8" s="88" t="s">
        <v>194</v>
      </c>
      <c r="I8" s="88" t="s">
        <v>194</v>
      </c>
      <c r="J8" s="793">
        <v>18000000</v>
      </c>
      <c r="K8" s="819" t="s">
        <v>260</v>
      </c>
      <c r="L8" s="819" t="s">
        <v>194</v>
      </c>
      <c r="M8" s="819" t="s">
        <v>194</v>
      </c>
      <c r="N8" s="819" t="s">
        <v>194</v>
      </c>
      <c r="O8" s="819" t="s">
        <v>194</v>
      </c>
      <c r="P8" s="819" t="s">
        <v>194</v>
      </c>
      <c r="Q8" s="819" t="s">
        <v>194</v>
      </c>
      <c r="R8" s="827">
        <f>J8</f>
        <v>18000000</v>
      </c>
      <c r="S8" s="37">
        <f>R8/VLOOKUP(K8,'Currency Conversion'!$B$2:$C$16,2,0)</f>
        <v>17045454.545454543</v>
      </c>
      <c r="T8" s="41" t="s">
        <v>195</v>
      </c>
      <c r="U8" s="609" t="s">
        <v>2105</v>
      </c>
      <c r="V8" s="609" t="s">
        <v>2110</v>
      </c>
      <c r="W8" s="752" t="s">
        <v>194</v>
      </c>
      <c r="X8" s="61"/>
      <c r="Y8" s="61"/>
      <c r="Z8" s="61"/>
      <c r="AA8" s="61"/>
    </row>
    <row r="9" spans="1:27" s="20" customFormat="1" ht="31.5">
      <c r="A9" s="961" t="s">
        <v>2111</v>
      </c>
      <c r="B9" s="961" t="s">
        <v>2112</v>
      </c>
      <c r="C9" s="963">
        <v>44627</v>
      </c>
      <c r="D9" s="961" t="s">
        <v>292</v>
      </c>
      <c r="E9" s="961" t="s">
        <v>2113</v>
      </c>
      <c r="F9" s="850" t="s">
        <v>2114</v>
      </c>
      <c r="G9" s="819" t="s">
        <v>2115</v>
      </c>
      <c r="H9" s="793">
        <v>350000000</v>
      </c>
      <c r="I9" s="793" t="s">
        <v>260</v>
      </c>
      <c r="J9" s="872">
        <v>489000000</v>
      </c>
      <c r="K9" s="861" t="s">
        <v>260</v>
      </c>
      <c r="L9" s="819" t="s">
        <v>194</v>
      </c>
      <c r="M9" s="819" t="s">
        <v>194</v>
      </c>
      <c r="N9" s="819" t="s">
        <v>194</v>
      </c>
      <c r="O9" s="819" t="s">
        <v>194</v>
      </c>
      <c r="P9" s="819" t="s">
        <v>194</v>
      </c>
      <c r="Q9" s="819" t="s">
        <v>194</v>
      </c>
      <c r="R9" s="966">
        <f t="shared" ref="R9" si="0">J9</f>
        <v>489000000</v>
      </c>
      <c r="S9" s="968">
        <f>R9/VLOOKUP(K9,'Currency Conversion'!$B$2:$C$16,2,0)</f>
        <v>463068181.81818181</v>
      </c>
      <c r="T9" s="957" t="s">
        <v>195</v>
      </c>
      <c r="U9" s="854" t="s">
        <v>663</v>
      </c>
      <c r="V9" s="854" t="s">
        <v>2087</v>
      </c>
      <c r="W9" s="955" t="s">
        <v>194</v>
      </c>
      <c r="X9" s="61"/>
      <c r="Y9" s="61"/>
      <c r="Z9" s="61"/>
      <c r="AA9" s="61"/>
    </row>
    <row r="10" spans="1:27" s="20" customFormat="1" ht="39" customHeight="1">
      <c r="A10" s="961"/>
      <c r="B10" s="961"/>
      <c r="C10" s="963"/>
      <c r="D10" s="961"/>
      <c r="E10" s="961"/>
      <c r="F10" s="850"/>
      <c r="G10" s="819" t="s">
        <v>1215</v>
      </c>
      <c r="H10" s="793">
        <v>89000000</v>
      </c>
      <c r="I10" s="793" t="s">
        <v>260</v>
      </c>
      <c r="J10" s="872"/>
      <c r="K10" s="861"/>
      <c r="L10" s="819" t="s">
        <v>194</v>
      </c>
      <c r="M10" s="819" t="s">
        <v>194</v>
      </c>
      <c r="N10" s="819" t="s">
        <v>194</v>
      </c>
      <c r="O10" s="819" t="s">
        <v>194</v>
      </c>
      <c r="P10" s="819" t="s">
        <v>194</v>
      </c>
      <c r="Q10" s="819" t="s">
        <v>194</v>
      </c>
      <c r="R10" s="966"/>
      <c r="S10" s="969"/>
      <c r="T10" s="957"/>
      <c r="U10" s="854"/>
      <c r="V10" s="854"/>
      <c r="W10" s="955"/>
      <c r="X10" s="61"/>
      <c r="Y10" s="61"/>
      <c r="Z10" s="61"/>
      <c r="AA10" s="61"/>
    </row>
    <row r="11" spans="1:27" s="20" customFormat="1" ht="18.75" customHeight="1">
      <c r="A11" s="962"/>
      <c r="B11" s="962"/>
      <c r="C11" s="964"/>
      <c r="D11" s="962"/>
      <c r="E11" s="962"/>
      <c r="F11" s="965"/>
      <c r="G11" s="819" t="s">
        <v>1645</v>
      </c>
      <c r="H11" s="793">
        <v>50000000</v>
      </c>
      <c r="I11" s="793" t="s">
        <v>260</v>
      </c>
      <c r="J11" s="971"/>
      <c r="K11" s="972"/>
      <c r="L11" s="819" t="s">
        <v>194</v>
      </c>
      <c r="M11" s="819" t="s">
        <v>194</v>
      </c>
      <c r="N11" s="819" t="s">
        <v>194</v>
      </c>
      <c r="O11" s="819" t="s">
        <v>194</v>
      </c>
      <c r="P11" s="819" t="s">
        <v>194</v>
      </c>
      <c r="Q11" s="819" t="s">
        <v>194</v>
      </c>
      <c r="R11" s="967"/>
      <c r="S11" s="970"/>
      <c r="T11" s="958"/>
      <c r="U11" s="956"/>
      <c r="V11" s="956"/>
      <c r="W11" s="955"/>
      <c r="X11" s="61"/>
      <c r="Y11" s="61"/>
      <c r="Z11" s="61"/>
      <c r="AA11" s="61"/>
    </row>
    <row r="12" spans="1:27" s="89" customFormat="1" ht="27" customHeight="1">
      <c r="A12" s="961" t="s">
        <v>2116</v>
      </c>
      <c r="B12" s="961" t="s">
        <v>2112</v>
      </c>
      <c r="C12" s="973">
        <v>44627</v>
      </c>
      <c r="D12" s="952" t="s">
        <v>292</v>
      </c>
      <c r="E12" s="946" t="s">
        <v>2117</v>
      </c>
      <c r="F12" s="850" t="s">
        <v>2118</v>
      </c>
      <c r="G12" s="819" t="s">
        <v>1741</v>
      </c>
      <c r="H12" s="793">
        <v>100000000</v>
      </c>
      <c r="I12" s="946" t="s">
        <v>260</v>
      </c>
      <c r="J12" s="946">
        <v>134000000</v>
      </c>
      <c r="K12" s="946" t="s">
        <v>260</v>
      </c>
      <c r="L12" s="946" t="s">
        <v>194</v>
      </c>
      <c r="M12" s="946" t="s">
        <v>194</v>
      </c>
      <c r="N12" s="946" t="s">
        <v>194</v>
      </c>
      <c r="O12" s="946" t="s">
        <v>194</v>
      </c>
      <c r="P12" s="946" t="s">
        <v>194</v>
      </c>
      <c r="Q12" s="946" t="s">
        <v>194</v>
      </c>
      <c r="R12" s="946">
        <f>J12</f>
        <v>134000000</v>
      </c>
      <c r="S12" s="946">
        <f>R12/VLOOKUP(K12,'Currency Conversion'!$B$2:$C$16,2,0)</f>
        <v>126893939.39393939</v>
      </c>
      <c r="T12" s="957" t="s">
        <v>195</v>
      </c>
      <c r="U12" s="854" t="s">
        <v>663</v>
      </c>
      <c r="V12" s="854" t="s">
        <v>294</v>
      </c>
      <c r="W12" s="850" t="s">
        <v>194</v>
      </c>
      <c r="X12" s="629"/>
      <c r="Y12" s="629"/>
      <c r="Z12" s="629"/>
      <c r="AA12" s="629"/>
    </row>
    <row r="13" spans="1:27" s="93" customFormat="1" ht="31.5" customHeight="1">
      <c r="A13" s="961"/>
      <c r="B13" s="961"/>
      <c r="C13" s="974"/>
      <c r="D13" s="953"/>
      <c r="E13" s="947"/>
      <c r="F13" s="850"/>
      <c r="G13" s="819" t="s">
        <v>618</v>
      </c>
      <c r="H13" s="793">
        <v>22000000</v>
      </c>
      <c r="I13" s="947" t="s">
        <v>260</v>
      </c>
      <c r="J13" s="947"/>
      <c r="K13" s="947"/>
      <c r="L13" s="947"/>
      <c r="M13" s="947"/>
      <c r="N13" s="947"/>
      <c r="O13" s="947"/>
      <c r="P13" s="947"/>
      <c r="Q13" s="947"/>
      <c r="R13" s="947"/>
      <c r="S13" s="947"/>
      <c r="T13" s="957"/>
      <c r="U13" s="854"/>
      <c r="V13" s="854"/>
      <c r="W13" s="850"/>
      <c r="X13" s="787"/>
      <c r="Y13" s="787"/>
      <c r="Z13" s="787"/>
      <c r="AA13" s="787"/>
    </row>
    <row r="14" spans="1:27" s="93" customFormat="1" ht="38.25" customHeight="1">
      <c r="A14" s="961"/>
      <c r="B14" s="961"/>
      <c r="C14" s="974"/>
      <c r="D14" s="954"/>
      <c r="E14" s="948"/>
      <c r="F14" s="850"/>
      <c r="G14" s="819" t="s">
        <v>2119</v>
      </c>
      <c r="H14" s="793">
        <v>12000000</v>
      </c>
      <c r="I14" s="948" t="s">
        <v>260</v>
      </c>
      <c r="J14" s="948"/>
      <c r="K14" s="948"/>
      <c r="L14" s="948"/>
      <c r="M14" s="948"/>
      <c r="N14" s="948"/>
      <c r="O14" s="948"/>
      <c r="P14" s="948"/>
      <c r="Q14" s="948"/>
      <c r="R14" s="948"/>
      <c r="S14" s="948"/>
      <c r="T14" s="958"/>
      <c r="U14" s="854"/>
      <c r="V14" s="854"/>
      <c r="W14" s="850"/>
      <c r="X14" s="787"/>
      <c r="Y14" s="787"/>
      <c r="Z14" s="787"/>
      <c r="AA14" s="787"/>
    </row>
    <row r="15" spans="1:27" s="19" customFormat="1" ht="15.75" hidden="1" customHeight="1">
      <c r="A15" s="961"/>
      <c r="B15" s="961"/>
      <c r="C15" s="974"/>
      <c r="D15" s="949"/>
      <c r="E15" s="949"/>
      <c r="F15" s="850"/>
      <c r="G15" s="819" t="s">
        <v>1147</v>
      </c>
      <c r="H15" s="793">
        <v>4000000</v>
      </c>
      <c r="I15" s="949"/>
      <c r="J15" s="949"/>
      <c r="K15" s="949"/>
      <c r="L15" s="949"/>
      <c r="M15" s="949"/>
      <c r="N15" s="949"/>
      <c r="O15" s="949"/>
      <c r="P15" s="949"/>
      <c r="Q15" s="949"/>
      <c r="R15" s="793">
        <v>18000000</v>
      </c>
      <c r="S15" s="825">
        <v>16360662</v>
      </c>
      <c r="T15" s="959"/>
      <c r="U15" s="854"/>
      <c r="V15" s="850"/>
      <c r="W15" s="850"/>
      <c r="X15" s="629"/>
      <c r="Y15" s="629"/>
      <c r="Z15" s="629"/>
      <c r="AA15" s="629"/>
    </row>
    <row r="16" spans="1:27" s="19" customFormat="1" ht="15.75" hidden="1" customHeight="1">
      <c r="A16" s="961"/>
      <c r="B16" s="961"/>
      <c r="C16" s="974"/>
      <c r="D16" s="950"/>
      <c r="E16" s="950"/>
      <c r="F16" s="850"/>
      <c r="G16" s="819" t="s">
        <v>2120</v>
      </c>
      <c r="H16" s="793">
        <v>4000000</v>
      </c>
      <c r="I16" s="950"/>
      <c r="J16" s="950"/>
      <c r="K16" s="950"/>
      <c r="L16" s="950"/>
      <c r="M16" s="950"/>
      <c r="N16" s="950"/>
      <c r="O16" s="950"/>
      <c r="P16" s="950"/>
      <c r="Q16" s="950"/>
      <c r="R16" s="793">
        <v>18000000</v>
      </c>
      <c r="S16" s="825">
        <v>16360662</v>
      </c>
      <c r="T16" s="959"/>
      <c r="U16" s="854"/>
      <c r="V16" s="850"/>
      <c r="W16" s="850"/>
      <c r="X16" s="629"/>
      <c r="Y16" s="629"/>
      <c r="Z16" s="629"/>
      <c r="AA16" s="629"/>
    </row>
    <row r="17" spans="1:23" ht="15.75" hidden="1" customHeight="1">
      <c r="A17" s="962"/>
      <c r="B17" s="962"/>
      <c r="C17" s="975"/>
      <c r="D17" s="951"/>
      <c r="E17" s="951"/>
      <c r="F17" s="965"/>
      <c r="G17" s="42" t="s">
        <v>257</v>
      </c>
      <c r="H17" s="43">
        <v>11000000</v>
      </c>
      <c r="I17" s="951"/>
      <c r="J17" s="951"/>
      <c r="K17" s="951"/>
      <c r="L17" s="951"/>
      <c r="M17" s="951"/>
      <c r="N17" s="951"/>
      <c r="O17" s="951"/>
      <c r="P17" s="951"/>
      <c r="Q17" s="951"/>
      <c r="R17" s="793">
        <v>18000000</v>
      </c>
      <c r="S17" s="825">
        <v>16360662</v>
      </c>
      <c r="T17" s="960"/>
      <c r="U17" s="956"/>
      <c r="V17" s="965"/>
      <c r="W17" s="965"/>
    </row>
    <row r="18" spans="1:23" ht="162.75" customHeight="1">
      <c r="A18" s="30" t="s">
        <v>2121</v>
      </c>
      <c r="B18" s="31" t="s">
        <v>2112</v>
      </c>
      <c r="C18" s="824">
        <v>44627</v>
      </c>
      <c r="D18" s="31" t="s">
        <v>292</v>
      </c>
      <c r="E18" s="31" t="s">
        <v>2122</v>
      </c>
      <c r="F18" s="23" t="s">
        <v>2123</v>
      </c>
      <c r="G18" s="88" t="s">
        <v>1080</v>
      </c>
      <c r="H18" s="827">
        <v>100000000</v>
      </c>
      <c r="I18" s="827" t="s">
        <v>260</v>
      </c>
      <c r="J18" s="827">
        <v>100000000</v>
      </c>
      <c r="K18" s="88" t="s">
        <v>260</v>
      </c>
      <c r="L18" s="88" t="s">
        <v>194</v>
      </c>
      <c r="M18" s="88" t="s">
        <v>194</v>
      </c>
      <c r="N18" s="88" t="s">
        <v>194</v>
      </c>
      <c r="O18" s="88" t="s">
        <v>194</v>
      </c>
      <c r="P18" s="88" t="s">
        <v>194</v>
      </c>
      <c r="Q18" s="88" t="s">
        <v>194</v>
      </c>
      <c r="R18" s="827">
        <f>J18</f>
        <v>100000000</v>
      </c>
      <c r="S18" s="37">
        <f>R18/VLOOKUP(K18,'Currency Conversion'!$B$2:$C$16,2,0)</f>
        <v>94696969.696969688</v>
      </c>
      <c r="T18" s="88" t="s">
        <v>195</v>
      </c>
      <c r="U18" s="24" t="s">
        <v>663</v>
      </c>
      <c r="V18" s="23" t="s">
        <v>194</v>
      </c>
      <c r="W18" s="23" t="s">
        <v>194</v>
      </c>
    </row>
    <row r="19" spans="1:23" ht="147.75" customHeight="1">
      <c r="A19" s="823" t="s">
        <v>2124</v>
      </c>
      <c r="B19" s="823" t="s">
        <v>2112</v>
      </c>
      <c r="C19" s="826">
        <v>44634</v>
      </c>
      <c r="D19" s="823" t="s">
        <v>292</v>
      </c>
      <c r="E19" s="823" t="s">
        <v>2125</v>
      </c>
      <c r="F19" s="752" t="s">
        <v>2126</v>
      </c>
      <c r="G19" s="88" t="s">
        <v>194</v>
      </c>
      <c r="H19" s="88" t="s">
        <v>194</v>
      </c>
      <c r="I19" s="88" t="s">
        <v>194</v>
      </c>
      <c r="J19" s="793">
        <v>200000000</v>
      </c>
      <c r="K19" s="819" t="s">
        <v>260</v>
      </c>
      <c r="L19" s="819" t="s">
        <v>194</v>
      </c>
      <c r="M19" s="819" t="s">
        <v>194</v>
      </c>
      <c r="N19" s="819" t="s">
        <v>194</v>
      </c>
      <c r="O19" s="819" t="s">
        <v>194</v>
      </c>
      <c r="P19" s="819" t="s">
        <v>194</v>
      </c>
      <c r="Q19" s="819" t="s">
        <v>194</v>
      </c>
      <c r="R19" s="827">
        <f>J19</f>
        <v>200000000</v>
      </c>
      <c r="S19" s="37">
        <f>R19/VLOOKUP(K19,'Currency Conversion'!$B$2:$C$16,2,0)</f>
        <v>189393939.39393938</v>
      </c>
      <c r="T19" s="819" t="s">
        <v>195</v>
      </c>
      <c r="U19" s="27" t="s">
        <v>294</v>
      </c>
      <c r="V19" s="752" t="s">
        <v>194</v>
      </c>
      <c r="W19" s="752" t="s">
        <v>194</v>
      </c>
    </row>
    <row r="20" spans="1:23" s="163" customFormat="1" ht="409.5">
      <c r="A20" s="823" t="s">
        <v>2127</v>
      </c>
      <c r="B20" s="823" t="s">
        <v>2112</v>
      </c>
      <c r="C20" s="826">
        <v>44663</v>
      </c>
      <c r="D20" s="823" t="s">
        <v>292</v>
      </c>
      <c r="E20" s="819" t="s">
        <v>2078</v>
      </c>
      <c r="F20" s="752" t="s">
        <v>2128</v>
      </c>
      <c r="G20" s="88" t="s">
        <v>194</v>
      </c>
      <c r="H20" s="88" t="s">
        <v>194</v>
      </c>
      <c r="I20" s="88" t="s">
        <v>194</v>
      </c>
      <c r="J20" s="793">
        <v>1490000000</v>
      </c>
      <c r="K20" s="819" t="s">
        <v>260</v>
      </c>
      <c r="L20" s="819" t="s">
        <v>194</v>
      </c>
      <c r="M20" s="819" t="s">
        <v>194</v>
      </c>
      <c r="N20" s="819" t="s">
        <v>194</v>
      </c>
      <c r="O20" s="819" t="s">
        <v>194</v>
      </c>
      <c r="P20" s="819" t="s">
        <v>194</v>
      </c>
      <c r="Q20" s="819" t="s">
        <v>194</v>
      </c>
      <c r="R20" s="827">
        <f>J20</f>
        <v>1490000000</v>
      </c>
      <c r="S20" s="827">
        <f>R20/VLOOKUP(K20,'Currency Conversion'!$B$2:$C$16,2,0)</f>
        <v>1410984848.4848485</v>
      </c>
      <c r="T20" s="819" t="s">
        <v>195</v>
      </c>
      <c r="U20" s="756" t="s">
        <v>2129</v>
      </c>
      <c r="V20" s="756" t="s">
        <v>2130</v>
      </c>
      <c r="W20" s="779" t="s">
        <v>2131</v>
      </c>
    </row>
    <row r="21" spans="1:23">
      <c r="A21" s="823"/>
      <c r="B21" s="823"/>
      <c r="C21" s="826"/>
      <c r="D21" s="823"/>
      <c r="E21" s="823"/>
      <c r="F21" s="752"/>
      <c r="G21" s="819"/>
      <c r="H21" s="793"/>
      <c r="I21" s="819"/>
      <c r="J21" s="819"/>
      <c r="K21" s="819"/>
      <c r="L21" s="819"/>
      <c r="M21" s="819"/>
      <c r="N21" s="819"/>
      <c r="O21" s="819"/>
      <c r="P21" s="819"/>
      <c r="Q21" s="819"/>
      <c r="R21" s="819"/>
      <c r="S21" s="819"/>
      <c r="T21" s="819"/>
      <c r="U21" s="752"/>
      <c r="V21" s="752"/>
      <c r="W21" s="752"/>
    </row>
    <row r="22" spans="1:23">
      <c r="A22" s="823"/>
      <c r="B22" s="823"/>
      <c r="C22" s="826"/>
      <c r="D22" s="823"/>
      <c r="E22" s="823"/>
      <c r="F22" s="752"/>
      <c r="G22" s="819"/>
      <c r="H22" s="793"/>
      <c r="I22" s="819"/>
      <c r="J22" s="819"/>
      <c r="K22" s="819"/>
      <c r="L22" s="819"/>
      <c r="M22" s="819"/>
      <c r="N22" s="819"/>
      <c r="O22" s="819"/>
      <c r="P22" s="819"/>
      <c r="Q22" s="819"/>
      <c r="R22" s="819"/>
      <c r="S22" s="793"/>
      <c r="T22" s="819"/>
      <c r="U22" s="752"/>
      <c r="V22" s="752"/>
      <c r="W22" s="752"/>
    </row>
    <row r="23" spans="1:23">
      <c r="A23" s="823"/>
      <c r="B23" s="823"/>
      <c r="C23" s="826"/>
      <c r="D23" s="823"/>
      <c r="E23" s="823"/>
      <c r="F23" s="752"/>
      <c r="G23" s="819"/>
      <c r="H23" s="793"/>
      <c r="I23" s="819"/>
      <c r="J23" s="819"/>
      <c r="K23" s="819"/>
      <c r="L23" s="819"/>
      <c r="M23" s="819"/>
      <c r="N23" s="819"/>
      <c r="O23" s="819"/>
      <c r="P23" s="819"/>
      <c r="Q23" s="819"/>
      <c r="R23" s="819"/>
      <c r="S23" s="819"/>
      <c r="T23" s="819"/>
      <c r="U23" s="752"/>
      <c r="V23" s="752"/>
      <c r="W23" s="752"/>
    </row>
    <row r="24" spans="1:23">
      <c r="A24" s="823"/>
      <c r="B24" s="823"/>
      <c r="C24" s="826"/>
      <c r="D24" s="823"/>
      <c r="E24" s="823"/>
      <c r="F24" s="752"/>
      <c r="G24" s="819"/>
      <c r="H24" s="793"/>
      <c r="I24" s="819"/>
      <c r="J24" s="819"/>
      <c r="K24" s="819"/>
      <c r="L24" s="819"/>
      <c r="M24" s="819"/>
      <c r="N24" s="819"/>
      <c r="O24" s="819"/>
      <c r="P24" s="819"/>
      <c r="Q24" s="819"/>
      <c r="R24" s="819"/>
      <c r="S24" s="819"/>
      <c r="T24" s="819"/>
      <c r="U24" s="752"/>
      <c r="V24" s="752"/>
      <c r="W24" s="752"/>
    </row>
    <row r="25" spans="1:23">
      <c r="A25" s="823"/>
      <c r="B25" s="823"/>
      <c r="C25" s="826"/>
      <c r="D25" s="823"/>
      <c r="E25" s="823"/>
      <c r="F25" s="752"/>
      <c r="G25" s="819"/>
      <c r="H25" s="793"/>
      <c r="I25" s="819"/>
      <c r="J25" s="819"/>
      <c r="K25" s="819"/>
      <c r="L25" s="819"/>
      <c r="M25" s="819"/>
      <c r="N25" s="819"/>
      <c r="O25" s="819"/>
      <c r="P25" s="819"/>
      <c r="Q25" s="819"/>
      <c r="R25" s="819"/>
      <c r="S25" s="819"/>
      <c r="T25" s="819"/>
      <c r="U25" s="752"/>
      <c r="V25" s="752"/>
      <c r="W25" s="752"/>
    </row>
    <row r="26" spans="1:23">
      <c r="A26" s="823"/>
      <c r="B26" s="823"/>
      <c r="C26" s="826"/>
      <c r="D26" s="823"/>
      <c r="E26" s="823"/>
      <c r="F26" s="752"/>
      <c r="G26" s="819"/>
      <c r="H26" s="793"/>
      <c r="I26" s="819"/>
      <c r="J26" s="819"/>
      <c r="K26" s="819"/>
      <c r="L26" s="819"/>
      <c r="M26" s="819"/>
      <c r="N26" s="819"/>
      <c r="O26" s="819"/>
      <c r="P26" s="819"/>
      <c r="Q26" s="819"/>
      <c r="R26" s="819"/>
      <c r="S26" s="819"/>
      <c r="T26" s="819"/>
      <c r="U26" s="752"/>
      <c r="V26" s="752"/>
      <c r="W26" s="752"/>
    </row>
  </sheetData>
  <mergeCells count="47">
    <mergeCell ref="A12:A17"/>
    <mergeCell ref="B12:B17"/>
    <mergeCell ref="C12:C17"/>
    <mergeCell ref="W12:W17"/>
    <mergeCell ref="U12:U17"/>
    <mergeCell ref="V12:V17"/>
    <mergeCell ref="F12:F17"/>
    <mergeCell ref="P12:P14"/>
    <mergeCell ref="P15:P17"/>
    <mergeCell ref="O12:O14"/>
    <mergeCell ref="O15:O17"/>
    <mergeCell ref="N12:N14"/>
    <mergeCell ref="N15:N17"/>
    <mergeCell ref="M12:M14"/>
    <mergeCell ref="M15:M17"/>
    <mergeCell ref="L12:L14"/>
    <mergeCell ref="A9:A11"/>
    <mergeCell ref="T9:T11"/>
    <mergeCell ref="B9:B11"/>
    <mergeCell ref="C9:C11"/>
    <mergeCell ref="D9:D11"/>
    <mergeCell ref="E9:E11"/>
    <mergeCell ref="F9:F11"/>
    <mergeCell ref="R9:R11"/>
    <mergeCell ref="S9:S11"/>
    <mergeCell ref="J9:J11"/>
    <mergeCell ref="K9:K11"/>
    <mergeCell ref="W9:W11"/>
    <mergeCell ref="R12:R14"/>
    <mergeCell ref="S12:S14"/>
    <mergeCell ref="Q12:Q14"/>
    <mergeCell ref="Q15:Q17"/>
    <mergeCell ref="U9:U11"/>
    <mergeCell ref="V9:V11"/>
    <mergeCell ref="T12:T14"/>
    <mergeCell ref="T15:T17"/>
    <mergeCell ref="L15:L17"/>
    <mergeCell ref="K12:K14"/>
    <mergeCell ref="K15:K17"/>
    <mergeCell ref="J12:J14"/>
    <mergeCell ref="J15:J17"/>
    <mergeCell ref="I12:I14"/>
    <mergeCell ref="I15:I17"/>
    <mergeCell ref="E12:E14"/>
    <mergeCell ref="E15:E17"/>
    <mergeCell ref="D12:D14"/>
    <mergeCell ref="D15:D17"/>
  </mergeCells>
  <hyperlinks>
    <hyperlink ref="U2" r:id="rId1" xr:uid="{00000000-0004-0000-0300-000000000000}"/>
    <hyperlink ref="V2" r:id="rId2" xr:uid="{00000000-0004-0000-0300-000001000000}"/>
    <hyperlink ref="U3" r:id="rId3" xr:uid="{00000000-0004-0000-0300-000002000000}"/>
    <hyperlink ref="V3" r:id="rId4" location="Q1%20What%20resources%20is%20the%20IMF%20making%20available%20to%20help%20Ukraine?" xr:uid="{00000000-0004-0000-0300-000003000000}"/>
    <hyperlink ref="U5" r:id="rId5" xr:uid="{00000000-0004-0000-0300-000004000000}"/>
    <hyperlink ref="U6" r:id="rId6" xr:uid="{00000000-0004-0000-0300-000005000000}"/>
    <hyperlink ref="U7" r:id="rId7" xr:uid="{00000000-0004-0000-0300-000006000000}"/>
    <hyperlink ref="U8" r:id="rId8" xr:uid="{00000000-0004-0000-0300-000007000000}"/>
    <hyperlink ref="V8" r:id="rId9" xr:uid="{00000000-0004-0000-0300-000008000000}"/>
    <hyperlink ref="U9" r:id="rId10" xr:uid="{00000000-0004-0000-0300-000009000000}"/>
    <hyperlink ref="V9" r:id="rId11" xr:uid="{00000000-0004-0000-0300-00000A000000}"/>
    <hyperlink ref="U12" r:id="rId12" xr:uid="{00000000-0004-0000-0300-00000B000000}"/>
    <hyperlink ref="U18" r:id="rId13" xr:uid="{00000000-0004-0000-0300-00000C000000}"/>
    <hyperlink ref="U19" r:id="rId14" xr:uid="{00000000-0004-0000-0300-00000D000000}"/>
    <hyperlink ref="V20" r:id="rId15" xr:uid="{00000000-0004-0000-0300-00000E000000}"/>
    <hyperlink ref="V12:V14" r:id="rId16" display="https://www.worldbank.org/en/news/press-release/2022/03/14/world-bank-announces-additional-200-million-in-financing-for-ukraine" xr:uid="{00000000-0004-0000-0300-00000F000000}"/>
    <hyperlink ref="U20" r:id="rId17" xr:uid="{00000000-0004-0000-0300-000010000000}"/>
    <hyperlink ref="U4" r:id="rId18" xr:uid="{00000000-0004-0000-0300-000011000000}"/>
    <hyperlink ref="W2" r:id="rId19" xr:uid="{00000000-0004-0000-0300-000012000000}"/>
    <hyperlink ref="W20" r:id="rId20" xr:uid="{00000000-0004-0000-0300-000013000000}"/>
    <hyperlink ref="V4" r:id="rId21" xr:uid="{1AE57279-27BD-4A35-8E3C-85FAFA367BF6}"/>
    <hyperlink ref="W4" r:id="rId22" xr:uid="{BE9C6D2D-BA76-438A-BDEA-6E73A0C5BEC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DFC9-E03B-4754-8F54-EC503D6BBEB5}">
  <sheetPr>
    <tabColor rgb="FF4472C4"/>
  </sheetPr>
  <dimension ref="A1:AG682"/>
  <sheetViews>
    <sheetView zoomScale="55" zoomScaleNormal="55" workbookViewId="0">
      <pane xSplit="1" ySplit="1" topLeftCell="B5" activePane="bottomRight" state="frozen"/>
      <selection pane="bottomRight" activeCell="A5" sqref="A5"/>
      <selection pane="bottomLeft" activeCell="A2" sqref="A2"/>
      <selection pane="topRight"/>
    </sheetView>
  </sheetViews>
  <sheetFormatPr defaultColWidth="10.875" defaultRowHeight="15.75"/>
  <cols>
    <col min="1" max="1" width="8.375" style="473" customWidth="1"/>
    <col min="2" max="2" width="22.125" style="473" bestFit="1" customWidth="1"/>
    <col min="3" max="3" width="32.625" style="478" customWidth="1"/>
    <col min="4" max="4" width="22.625" style="473" customWidth="1"/>
    <col min="5" max="5" width="55.5" style="478" customWidth="1"/>
    <col min="6" max="6" width="55.125" style="476" customWidth="1"/>
    <col min="7" max="7" width="49.125" style="477" customWidth="1"/>
    <col min="8" max="8" width="15.5" style="475" bestFit="1" customWidth="1"/>
    <col min="9" max="9" width="62.625" style="478" customWidth="1"/>
    <col min="10" max="10" width="7.625" style="170" customWidth="1"/>
    <col min="11" max="11" width="7.625" style="529" customWidth="1"/>
    <col min="12" max="12" width="16.625" style="18" customWidth="1"/>
    <col min="13" max="13" width="30.625" style="481" customWidth="1"/>
    <col min="14" max="14" width="18.375" style="194" customWidth="1"/>
    <col min="15" max="15" width="31.5" style="144" customWidth="1"/>
    <col min="16" max="16" width="31.5" style="196" customWidth="1"/>
    <col min="17" max="17" width="24.875" style="479" customWidth="1"/>
    <col min="18" max="18" width="23.5" style="481" customWidth="1"/>
    <col min="19" max="19" width="39.5" style="172" customWidth="1"/>
    <col min="20" max="20" width="17" style="475" customWidth="1"/>
    <col min="21" max="21" width="37.625" style="12" customWidth="1"/>
    <col min="22" max="22" width="32.5" style="12" customWidth="1"/>
    <col min="23" max="24" width="36.375" style="474" customWidth="1"/>
    <col min="25" max="25" width="39.5" style="480" customWidth="1"/>
    <col min="26" max="26" width="27.125" style="475" customWidth="1"/>
    <col min="27" max="27" width="24.5" style="737" customWidth="1"/>
    <col min="28" max="31" width="10.875" style="478" customWidth="1"/>
    <col min="32" max="16384" width="10.875" style="478"/>
  </cols>
  <sheetData>
    <row r="1" spans="1:33" s="63" customFormat="1" ht="47.25">
      <c r="A1" s="95" t="s">
        <v>161</v>
      </c>
      <c r="B1" s="63" t="s">
        <v>162</v>
      </c>
      <c r="C1" s="63" t="s">
        <v>163</v>
      </c>
      <c r="D1" s="74" t="s">
        <v>164</v>
      </c>
      <c r="E1" s="63" t="s">
        <v>165</v>
      </c>
      <c r="F1" s="147" t="s">
        <v>166</v>
      </c>
      <c r="G1" s="75" t="s">
        <v>167</v>
      </c>
      <c r="H1" s="78" t="s">
        <v>168</v>
      </c>
      <c r="I1" s="63" t="s">
        <v>169</v>
      </c>
      <c r="J1" s="162" t="s">
        <v>170</v>
      </c>
      <c r="K1" s="77" t="s">
        <v>171</v>
      </c>
      <c r="L1" s="76" t="s">
        <v>172</v>
      </c>
      <c r="M1" s="75" t="s">
        <v>173</v>
      </c>
      <c r="N1" s="193" t="s">
        <v>174</v>
      </c>
      <c r="O1" s="192" t="s">
        <v>175</v>
      </c>
      <c r="P1" s="195" t="s">
        <v>176</v>
      </c>
      <c r="Q1" s="148" t="s">
        <v>177</v>
      </c>
      <c r="R1" s="146" t="s">
        <v>178</v>
      </c>
      <c r="S1" s="146" t="s">
        <v>179</v>
      </c>
      <c r="T1" s="63" t="s">
        <v>180</v>
      </c>
      <c r="U1" s="78" t="s">
        <v>181</v>
      </c>
      <c r="V1" s="78" t="s">
        <v>182</v>
      </c>
      <c r="W1" s="78" t="s">
        <v>183</v>
      </c>
      <c r="X1" s="78" t="s">
        <v>184</v>
      </c>
      <c r="Y1" s="79" t="s">
        <v>185</v>
      </c>
      <c r="Z1" s="63" t="s">
        <v>186</v>
      </c>
      <c r="AA1" s="78" t="s">
        <v>187</v>
      </c>
    </row>
    <row r="2" spans="1:33" s="528" customFormat="1">
      <c r="A2" s="982" t="s">
        <v>2132</v>
      </c>
      <c r="B2" s="982" t="s">
        <v>329</v>
      </c>
      <c r="C2" s="985">
        <v>44685</v>
      </c>
      <c r="D2" s="982" t="s">
        <v>212</v>
      </c>
      <c r="E2" s="982" t="s">
        <v>199</v>
      </c>
      <c r="F2" s="991" t="s">
        <v>2133</v>
      </c>
      <c r="G2" s="982" t="s">
        <v>2134</v>
      </c>
      <c r="H2" s="979" t="s">
        <v>260</v>
      </c>
      <c r="I2" s="565" t="s">
        <v>838</v>
      </c>
      <c r="J2" s="566">
        <f>VLOOKUP($I2,Prices!A:B,2,0)</f>
        <v>1</v>
      </c>
      <c r="K2" s="569">
        <f>VLOOKUP(I2,Prices!A:C,3,0)</f>
        <v>0</v>
      </c>
      <c r="L2" s="565" t="s">
        <v>224</v>
      </c>
      <c r="M2" s="565" t="s">
        <v>194</v>
      </c>
      <c r="N2" s="566">
        <f>VLOOKUP($I2,Prices!A:D,4,0)</f>
        <v>60000</v>
      </c>
      <c r="O2" s="565" t="s">
        <v>194</v>
      </c>
      <c r="P2" s="606" t="s">
        <v>194</v>
      </c>
      <c r="Q2" s="994">
        <f>P4</f>
        <v>40000000</v>
      </c>
      <c r="R2" s="982">
        <f>Q2/VLOOKUP(H2,'Currency Conversion'!$B$2:$C$16,2,0)</f>
        <v>37878787.878787875</v>
      </c>
      <c r="S2" s="979">
        <f>R2</f>
        <v>37878787.878787875</v>
      </c>
      <c r="T2" s="979" t="s">
        <v>298</v>
      </c>
      <c r="U2" s="988" t="s">
        <v>2135</v>
      </c>
      <c r="V2" s="976" t="s">
        <v>2136</v>
      </c>
      <c r="W2" s="976" t="s">
        <v>2137</v>
      </c>
      <c r="X2" s="976" t="s">
        <v>2138</v>
      </c>
      <c r="Y2" s="979">
        <v>0</v>
      </c>
      <c r="Z2" s="979">
        <v>1</v>
      </c>
      <c r="AA2" s="976" t="s">
        <v>2137</v>
      </c>
      <c r="AB2" s="630"/>
      <c r="AC2" s="630"/>
      <c r="AD2" s="630"/>
      <c r="AE2" s="630"/>
      <c r="AF2" s="630"/>
      <c r="AG2" s="630"/>
    </row>
    <row r="3" spans="1:33" s="528" customFormat="1">
      <c r="A3" s="983"/>
      <c r="B3" s="983"/>
      <c r="C3" s="986"/>
      <c r="D3" s="983"/>
      <c r="E3" s="983"/>
      <c r="F3" s="992"/>
      <c r="G3" s="983"/>
      <c r="H3" s="980"/>
      <c r="I3" s="567" t="s">
        <v>2139</v>
      </c>
      <c r="J3" s="566">
        <f>VLOOKUP($I3,Prices!A:B,2,0)</f>
        <v>4</v>
      </c>
      <c r="K3" s="569">
        <f>VLOOKUP(I3,Prices!A:C,3,0)</f>
        <v>1</v>
      </c>
      <c r="L3" s="567" t="s">
        <v>224</v>
      </c>
      <c r="M3" s="567" t="s">
        <v>194</v>
      </c>
      <c r="N3" s="568">
        <f>VLOOKUP($I3,Prices!A:D,4,0)</f>
        <v>30000</v>
      </c>
      <c r="O3" s="567" t="s">
        <v>194</v>
      </c>
      <c r="P3" s="607" t="s">
        <v>194</v>
      </c>
      <c r="Q3" s="995"/>
      <c r="R3" s="983"/>
      <c r="S3" s="980"/>
      <c r="T3" s="980"/>
      <c r="U3" s="989"/>
      <c r="V3" s="977"/>
      <c r="W3" s="977"/>
      <c r="X3" s="977"/>
      <c r="Y3" s="980"/>
      <c r="Z3" s="980"/>
      <c r="AA3" s="977"/>
      <c r="AB3" s="630"/>
      <c r="AC3" s="630"/>
      <c r="AD3" s="630"/>
      <c r="AE3" s="630"/>
      <c r="AF3" s="630"/>
      <c r="AG3" s="630"/>
    </row>
    <row r="4" spans="1:33" s="528" customFormat="1">
      <c r="A4" s="984"/>
      <c r="B4" s="984"/>
      <c r="C4" s="987"/>
      <c r="D4" s="984"/>
      <c r="E4" s="984"/>
      <c r="F4" s="993"/>
      <c r="G4" s="984"/>
      <c r="H4" s="981"/>
      <c r="I4" s="567" t="s">
        <v>2140</v>
      </c>
      <c r="J4" s="566">
        <f>VLOOKUP($I4,Prices!A:B,2,0)</f>
        <v>4</v>
      </c>
      <c r="K4" s="569">
        <f>VLOOKUP(I4,Prices!A:C,3,0)</f>
        <v>1</v>
      </c>
      <c r="L4" s="567" t="s">
        <v>224</v>
      </c>
      <c r="M4" s="568">
        <v>80</v>
      </c>
      <c r="N4" s="568">
        <f>VLOOKUP($I4,Prices!A:D,4,0)</f>
        <v>500000</v>
      </c>
      <c r="O4" s="567" t="s">
        <v>194</v>
      </c>
      <c r="P4" s="608">
        <f>M4*N4</f>
        <v>40000000</v>
      </c>
      <c r="Q4" s="996"/>
      <c r="R4" s="984"/>
      <c r="S4" s="981"/>
      <c r="T4" s="981"/>
      <c r="U4" s="990"/>
      <c r="V4" s="978"/>
      <c r="W4" s="978"/>
      <c r="X4" s="978"/>
      <c r="Y4" s="981"/>
      <c r="Z4" s="981"/>
      <c r="AA4" s="978"/>
      <c r="AB4" s="630"/>
      <c r="AC4" s="630"/>
      <c r="AD4" s="630"/>
      <c r="AE4" s="630"/>
      <c r="AF4" s="630"/>
      <c r="AG4" s="630"/>
    </row>
    <row r="5" spans="1:33" s="630" customFormat="1" ht="78.75">
      <c r="A5" s="614" t="s">
        <v>2141</v>
      </c>
      <c r="B5" s="614" t="s">
        <v>1507</v>
      </c>
      <c r="C5" s="751">
        <v>44714</v>
      </c>
      <c r="D5" s="614" t="s">
        <v>212</v>
      </c>
      <c r="E5" s="614" t="s">
        <v>320</v>
      </c>
      <c r="F5" s="614" t="s">
        <v>2142</v>
      </c>
      <c r="G5" s="614" t="s">
        <v>2134</v>
      </c>
      <c r="H5" s="754" t="s">
        <v>260</v>
      </c>
      <c r="I5" s="614" t="s">
        <v>2143</v>
      </c>
      <c r="J5" s="566">
        <f>VLOOKUP($I5,Prices!A:B,2,0)</f>
        <v>4</v>
      </c>
      <c r="K5" s="569">
        <f>VLOOKUP(I5,Prices!A:C,3,0)</f>
        <v>1</v>
      </c>
      <c r="L5" s="750">
        <v>8</v>
      </c>
      <c r="M5" s="614" t="s">
        <v>194</v>
      </c>
      <c r="N5" s="566">
        <f>VLOOKUP($I5,Prices!A:D,4,0)</f>
        <v>6880000</v>
      </c>
      <c r="O5" s="750">
        <f>L5*N5</f>
        <v>55040000</v>
      </c>
      <c r="P5" s="614" t="s">
        <v>194</v>
      </c>
      <c r="Q5" s="605">
        <f>O5</f>
        <v>55040000</v>
      </c>
      <c r="R5" s="614">
        <f>Q5/VLOOKUP(H5,'Currency Conversion'!$B$2:$C$16,2,0)</f>
        <v>52121212.121212117</v>
      </c>
      <c r="S5" s="754" t="s">
        <v>194</v>
      </c>
      <c r="T5" s="754" t="s">
        <v>298</v>
      </c>
      <c r="U5" s="812" t="s">
        <v>2144</v>
      </c>
      <c r="V5" s="735" t="s">
        <v>194</v>
      </c>
      <c r="W5" s="735" t="s">
        <v>194</v>
      </c>
      <c r="X5" s="735" t="s">
        <v>194</v>
      </c>
      <c r="Y5" s="828">
        <v>0</v>
      </c>
      <c r="Z5" s="828">
        <v>1</v>
      </c>
      <c r="AA5" s="172" t="s">
        <v>194</v>
      </c>
    </row>
    <row r="6" spans="1:33" ht="47.25">
      <c r="A6" s="628" t="s">
        <v>2145</v>
      </c>
      <c r="B6" s="628" t="s">
        <v>1364</v>
      </c>
      <c r="C6" s="732">
        <v>44719</v>
      </c>
      <c r="D6" s="628" t="s">
        <v>212</v>
      </c>
      <c r="E6" s="630" t="s">
        <v>320</v>
      </c>
      <c r="F6" s="629" t="s">
        <v>2146</v>
      </c>
      <c r="G6" s="635">
        <v>700000000</v>
      </c>
      <c r="H6" s="624" t="s">
        <v>260</v>
      </c>
      <c r="I6" s="630" t="s">
        <v>1814</v>
      </c>
      <c r="J6" s="566">
        <f>VLOOKUP($I6,Prices!A:B,2,0)</f>
        <v>4</v>
      </c>
      <c r="K6" s="569">
        <f>VLOOKUP(I6,Prices!A:C,3,0)</f>
        <v>0</v>
      </c>
      <c r="L6" s="18">
        <v>60</v>
      </c>
      <c r="M6" s="634" t="s">
        <v>194</v>
      </c>
      <c r="N6" s="566">
        <f>VLOOKUP($I6,Prices!A:D,4,0)</f>
        <v>517000</v>
      </c>
      <c r="O6" s="769" t="s">
        <v>194</v>
      </c>
      <c r="P6" s="196" t="s">
        <v>194</v>
      </c>
      <c r="Q6" s="733">
        <f>G6</f>
        <v>700000000</v>
      </c>
      <c r="R6" s="614">
        <f>Q6/VLOOKUP(H6,'Currency Conversion'!$B$2:$C$16,2,0)</f>
        <v>662878787.87878788</v>
      </c>
      <c r="S6" s="172" t="s">
        <v>194</v>
      </c>
      <c r="T6" s="624" t="s">
        <v>298</v>
      </c>
      <c r="U6" s="734" t="s">
        <v>2147</v>
      </c>
      <c r="V6" s="12" t="s">
        <v>194</v>
      </c>
      <c r="W6" s="623" t="s">
        <v>194</v>
      </c>
      <c r="X6" s="623" t="s">
        <v>194</v>
      </c>
      <c r="Y6" s="829">
        <v>0</v>
      </c>
      <c r="Z6" s="829">
        <v>1</v>
      </c>
      <c r="AA6" s="736" t="s">
        <v>194</v>
      </c>
      <c r="AB6" s="630"/>
      <c r="AC6" s="630"/>
      <c r="AD6" s="630"/>
      <c r="AE6" s="630"/>
      <c r="AF6" s="630"/>
      <c r="AG6" s="630"/>
    </row>
    <row r="7" spans="1:33" ht="47.25">
      <c r="A7" s="628" t="s">
        <v>2148</v>
      </c>
      <c r="B7" s="628" t="s">
        <v>1702</v>
      </c>
      <c r="C7" s="732">
        <v>44741</v>
      </c>
      <c r="D7" s="628" t="s">
        <v>212</v>
      </c>
      <c r="E7" s="630" t="s">
        <v>320</v>
      </c>
      <c r="F7" s="629" t="s">
        <v>2149</v>
      </c>
      <c r="G7" s="635" t="s">
        <v>2134</v>
      </c>
      <c r="H7" s="624" t="s">
        <v>260</v>
      </c>
      <c r="I7" s="630" t="s">
        <v>2150</v>
      </c>
      <c r="J7" s="566">
        <f>VLOOKUP($I7,Prices!A:B,2,0)</f>
        <v>5</v>
      </c>
      <c r="K7" s="569">
        <f>VLOOKUP(I7,Prices!A:C,3,0)</f>
        <v>0</v>
      </c>
      <c r="L7" s="18">
        <v>3</v>
      </c>
      <c r="M7" s="634" t="s">
        <v>194</v>
      </c>
      <c r="N7" s="566">
        <f>VLOOKUP($I7,Prices!A:D,4,0)</f>
        <v>5000000</v>
      </c>
      <c r="O7" s="769">
        <f>L7*N7</f>
        <v>15000000</v>
      </c>
      <c r="P7" s="196" t="s">
        <v>194</v>
      </c>
      <c r="Q7" s="733">
        <f>O7</f>
        <v>15000000</v>
      </c>
      <c r="R7" s="738">
        <f>Q7/VLOOKUP(H7,'Currency Conversion'!$B$2:$C$16,2,0)</f>
        <v>14204545.454545453</v>
      </c>
      <c r="S7" s="172" t="s">
        <v>194</v>
      </c>
      <c r="T7" s="624" t="s">
        <v>298</v>
      </c>
      <c r="U7" s="734" t="s">
        <v>2151</v>
      </c>
      <c r="V7" s="12" t="s">
        <v>194</v>
      </c>
      <c r="W7" s="623" t="s">
        <v>194</v>
      </c>
      <c r="X7" s="623" t="s">
        <v>194</v>
      </c>
      <c r="Y7" s="830">
        <v>0</v>
      </c>
      <c r="Z7" s="830">
        <v>1</v>
      </c>
      <c r="AA7" s="172" t="s">
        <v>194</v>
      </c>
      <c r="AB7" s="630"/>
      <c r="AC7" s="630"/>
      <c r="AD7" s="630"/>
      <c r="AE7" s="630"/>
      <c r="AF7" s="630"/>
      <c r="AG7" s="630"/>
    </row>
    <row r="8" spans="1:33" ht="47.25">
      <c r="A8" s="628" t="s">
        <v>2152</v>
      </c>
      <c r="B8" s="628" t="s">
        <v>1702</v>
      </c>
      <c r="C8" s="732">
        <v>44740</v>
      </c>
      <c r="D8" s="628" t="s">
        <v>212</v>
      </c>
      <c r="E8" s="630" t="s">
        <v>320</v>
      </c>
      <c r="F8" s="629" t="s">
        <v>2153</v>
      </c>
      <c r="G8" s="635" t="s">
        <v>2134</v>
      </c>
      <c r="H8" s="624" t="s">
        <v>260</v>
      </c>
      <c r="I8" s="630" t="s">
        <v>2150</v>
      </c>
      <c r="J8" s="566">
        <f>VLOOKUP($I8,Prices!A:B,2,0)</f>
        <v>5</v>
      </c>
      <c r="K8" s="569">
        <f>VLOOKUP(I8,Prices!A:C,3,0)</f>
        <v>0</v>
      </c>
      <c r="L8" s="18">
        <v>50</v>
      </c>
      <c r="M8" s="634" t="s">
        <v>194</v>
      </c>
      <c r="N8" s="566">
        <f>VLOOKUP($I8,Prices!A:D,4,0)</f>
        <v>5000000</v>
      </c>
      <c r="O8" s="769">
        <f>L8*N8</f>
        <v>250000000</v>
      </c>
      <c r="P8" s="196" t="s">
        <v>194</v>
      </c>
      <c r="Q8" s="733">
        <f>O8</f>
        <v>250000000</v>
      </c>
      <c r="R8" s="738">
        <f>Q8/VLOOKUP(H8,'Currency Conversion'!$B$2:$C$16,2,0)</f>
        <v>236742424.24242422</v>
      </c>
      <c r="S8" s="172" t="s">
        <v>194</v>
      </c>
      <c r="T8" s="624" t="s">
        <v>298</v>
      </c>
      <c r="U8" s="734" t="s">
        <v>2154</v>
      </c>
      <c r="V8" s="12" t="s">
        <v>194</v>
      </c>
      <c r="W8" s="623" t="s">
        <v>194</v>
      </c>
      <c r="X8" s="623" t="s">
        <v>194</v>
      </c>
      <c r="Y8" s="633">
        <v>0</v>
      </c>
      <c r="Z8" s="624">
        <v>1</v>
      </c>
      <c r="AA8" s="172" t="s">
        <v>194</v>
      </c>
      <c r="AB8" s="630"/>
      <c r="AC8" s="630"/>
      <c r="AD8" s="630"/>
      <c r="AE8" s="630"/>
      <c r="AF8" s="630"/>
      <c r="AG8" s="630"/>
    </row>
    <row r="9" spans="1:33">
      <c r="A9" s="628"/>
      <c r="B9" s="628"/>
      <c r="C9" s="630"/>
      <c r="D9" s="628"/>
      <c r="E9" s="630"/>
      <c r="F9" s="629"/>
      <c r="G9" s="635"/>
      <c r="H9" s="624"/>
      <c r="I9" s="630"/>
      <c r="K9" s="633"/>
      <c r="M9" s="634"/>
      <c r="O9" s="769"/>
      <c r="Q9" s="627"/>
      <c r="R9" s="634"/>
      <c r="T9" s="624"/>
      <c r="W9" s="623"/>
      <c r="X9" s="623"/>
      <c r="Y9" s="633"/>
      <c r="Z9" s="624"/>
      <c r="AB9" s="630"/>
      <c r="AC9" s="630"/>
      <c r="AD9" s="630"/>
      <c r="AE9" s="630"/>
      <c r="AF9" s="630"/>
      <c r="AG9" s="630"/>
    </row>
    <row r="10" spans="1:33">
      <c r="A10" s="628"/>
      <c r="B10" s="628"/>
      <c r="C10" s="630"/>
      <c r="D10" s="628"/>
      <c r="E10" s="630"/>
      <c r="F10" s="629"/>
      <c r="G10" s="635"/>
      <c r="H10" s="624"/>
      <c r="I10" s="630"/>
      <c r="K10" s="633"/>
      <c r="M10" s="634"/>
      <c r="O10" s="769"/>
      <c r="Q10" s="627"/>
      <c r="R10" s="634"/>
      <c r="T10" s="624"/>
      <c r="W10" s="623"/>
      <c r="X10" s="623"/>
      <c r="Y10" s="633"/>
      <c r="Z10" s="624"/>
      <c r="AB10" s="630"/>
      <c r="AC10" s="630"/>
      <c r="AD10" s="630"/>
      <c r="AE10" s="630"/>
      <c r="AF10" s="630"/>
      <c r="AG10" s="630"/>
    </row>
    <row r="11" spans="1:33">
      <c r="A11" s="628"/>
      <c r="B11" s="628"/>
      <c r="C11" s="630"/>
      <c r="D11" s="628"/>
      <c r="E11" s="630"/>
      <c r="F11" s="629"/>
      <c r="G11" s="635"/>
      <c r="H11" s="624"/>
      <c r="I11" s="630"/>
      <c r="K11" s="633"/>
      <c r="M11" s="634"/>
      <c r="O11" s="769"/>
      <c r="Q11" s="627"/>
      <c r="R11" s="634"/>
      <c r="T11" s="624"/>
      <c r="W11" s="623"/>
      <c r="X11" s="623"/>
      <c r="Y11" s="633"/>
      <c r="Z11" s="624"/>
      <c r="AB11" s="630"/>
      <c r="AC11" s="630"/>
      <c r="AD11" s="630"/>
      <c r="AE11" s="630"/>
      <c r="AF11" s="630"/>
      <c r="AG11" s="630"/>
    </row>
    <row r="12" spans="1:33">
      <c r="A12" s="628"/>
      <c r="B12" s="628"/>
      <c r="C12" s="630"/>
      <c r="D12" s="628"/>
      <c r="E12" s="630"/>
      <c r="F12" s="629"/>
      <c r="G12" s="635"/>
      <c r="H12" s="624"/>
      <c r="I12" s="630"/>
      <c r="K12" s="633"/>
      <c r="M12" s="634"/>
      <c r="O12" s="769"/>
      <c r="Q12" s="627"/>
      <c r="R12" s="634"/>
      <c r="T12" s="624"/>
      <c r="W12" s="623"/>
      <c r="X12" s="623"/>
      <c r="Y12" s="633"/>
      <c r="Z12" s="624"/>
      <c r="AB12" s="630"/>
      <c r="AC12" s="630"/>
      <c r="AD12" s="630"/>
      <c r="AE12" s="630"/>
      <c r="AF12" s="630"/>
      <c r="AG12" s="630"/>
    </row>
    <row r="13" spans="1:33">
      <c r="A13" s="628"/>
      <c r="B13" s="628"/>
      <c r="C13" s="630"/>
      <c r="D13" s="628"/>
      <c r="E13" s="630"/>
      <c r="F13" s="629"/>
      <c r="G13" s="635"/>
      <c r="H13" s="624"/>
      <c r="I13" s="630"/>
      <c r="K13" s="633"/>
      <c r="M13" s="634"/>
      <c r="O13" s="769"/>
      <c r="Q13" s="627"/>
      <c r="R13" s="634"/>
      <c r="T13" s="624"/>
      <c r="W13" s="623"/>
      <c r="X13" s="623"/>
      <c r="Y13" s="633"/>
      <c r="Z13" s="624"/>
      <c r="AB13" s="630"/>
      <c r="AC13" s="630"/>
      <c r="AD13" s="630"/>
      <c r="AE13" s="630"/>
      <c r="AF13" s="630"/>
      <c r="AG13" s="630"/>
    </row>
    <row r="14" spans="1:33">
      <c r="A14" s="628"/>
      <c r="B14" s="628"/>
      <c r="C14" s="630"/>
      <c r="D14" s="628"/>
      <c r="E14" s="630"/>
      <c r="F14" s="629"/>
      <c r="G14" s="635"/>
      <c r="H14" s="624"/>
      <c r="I14" s="630"/>
      <c r="K14" s="633"/>
      <c r="M14" s="634"/>
      <c r="O14" s="769"/>
      <c r="Q14" s="627"/>
      <c r="R14" s="634"/>
      <c r="T14" s="624"/>
      <c r="W14" s="623"/>
      <c r="X14" s="623"/>
      <c r="Y14" s="633"/>
      <c r="Z14" s="624"/>
      <c r="AB14" s="630"/>
      <c r="AC14" s="630"/>
      <c r="AD14" s="630"/>
      <c r="AE14" s="630"/>
      <c r="AF14" s="630"/>
      <c r="AG14" s="630"/>
    </row>
    <row r="15" spans="1:33">
      <c r="A15" s="628"/>
      <c r="B15" s="628"/>
      <c r="C15" s="630"/>
      <c r="D15" s="628"/>
      <c r="E15" s="630"/>
      <c r="F15" s="629"/>
      <c r="G15" s="635"/>
      <c r="H15" s="624"/>
      <c r="I15" s="630"/>
      <c r="K15" s="633"/>
      <c r="M15" s="634"/>
      <c r="O15" s="769"/>
      <c r="Q15" s="627"/>
      <c r="R15" s="634"/>
      <c r="T15" s="624"/>
      <c r="W15" s="623"/>
      <c r="X15" s="623"/>
      <c r="Y15" s="633"/>
      <c r="Z15" s="624"/>
      <c r="AB15" s="630"/>
      <c r="AC15" s="630"/>
      <c r="AD15" s="630"/>
      <c r="AE15" s="630"/>
      <c r="AF15" s="630"/>
      <c r="AG15" s="630"/>
    </row>
    <row r="16" spans="1:33">
      <c r="A16" s="628"/>
      <c r="B16" s="628"/>
      <c r="C16" s="630"/>
      <c r="D16" s="628"/>
      <c r="E16" s="630"/>
      <c r="F16" s="629"/>
      <c r="G16" s="635"/>
      <c r="H16" s="624"/>
      <c r="I16" s="630"/>
      <c r="K16" s="633"/>
      <c r="M16" s="634"/>
      <c r="O16" s="769"/>
      <c r="Q16" s="627"/>
      <c r="R16" s="634"/>
      <c r="T16" s="624"/>
      <c r="W16" s="623"/>
      <c r="X16" s="623"/>
      <c r="Y16" s="633"/>
      <c r="Z16" s="624"/>
      <c r="AB16" s="630"/>
      <c r="AC16" s="630"/>
      <c r="AD16" s="630"/>
      <c r="AE16" s="630"/>
      <c r="AF16" s="630"/>
      <c r="AG16" s="630"/>
    </row>
    <row r="17" spans="1:33">
      <c r="A17" s="628"/>
      <c r="B17" s="628"/>
      <c r="C17" s="630"/>
      <c r="D17" s="628"/>
      <c r="E17" s="630"/>
      <c r="F17" s="629"/>
      <c r="G17" s="635"/>
      <c r="H17" s="624"/>
      <c r="I17" s="630"/>
      <c r="K17" s="633"/>
      <c r="M17" s="634"/>
      <c r="O17" s="769"/>
      <c r="Q17" s="627"/>
      <c r="R17" s="634"/>
      <c r="T17" s="624"/>
      <c r="W17" s="623"/>
      <c r="X17" s="623"/>
      <c r="Y17" s="633"/>
      <c r="Z17" s="624"/>
      <c r="AB17" s="630"/>
      <c r="AC17" s="630"/>
      <c r="AD17" s="630"/>
      <c r="AE17" s="630"/>
      <c r="AF17" s="630"/>
      <c r="AG17" s="630"/>
    </row>
    <row r="18" spans="1:33">
      <c r="A18" s="628"/>
      <c r="B18" s="628"/>
      <c r="C18" s="630"/>
      <c r="D18" s="628"/>
      <c r="E18" s="630"/>
      <c r="F18" s="629"/>
      <c r="G18" s="635"/>
      <c r="H18" s="624"/>
      <c r="I18" s="630"/>
      <c r="K18" s="633"/>
      <c r="M18" s="634"/>
      <c r="O18" s="769"/>
      <c r="Q18" s="627"/>
      <c r="R18" s="634"/>
      <c r="T18" s="624"/>
      <c r="W18" s="623"/>
      <c r="X18" s="623"/>
      <c r="Y18" s="633"/>
      <c r="Z18" s="624"/>
      <c r="AB18" s="630"/>
      <c r="AC18" s="630"/>
      <c r="AD18" s="630"/>
      <c r="AE18" s="630"/>
      <c r="AF18" s="630"/>
      <c r="AG18" s="630"/>
    </row>
    <row r="19" spans="1:33">
      <c r="A19" s="628"/>
      <c r="B19" s="628"/>
      <c r="C19" s="630"/>
      <c r="D19" s="628"/>
      <c r="E19" s="630"/>
      <c r="F19" s="629"/>
      <c r="G19" s="635"/>
      <c r="H19" s="624"/>
      <c r="I19" s="630"/>
      <c r="K19" s="633"/>
      <c r="M19" s="634"/>
      <c r="O19" s="769"/>
      <c r="Q19" s="627"/>
      <c r="R19" s="634"/>
      <c r="T19" s="624"/>
      <c r="W19" s="623"/>
      <c r="X19" s="623"/>
      <c r="Y19" s="633"/>
      <c r="Z19" s="624"/>
      <c r="AB19" s="630"/>
      <c r="AC19" s="630"/>
      <c r="AD19" s="630"/>
      <c r="AE19" s="630"/>
      <c r="AF19" s="630"/>
      <c r="AG19" s="630"/>
    </row>
    <row r="20" spans="1:33">
      <c r="A20" s="628"/>
      <c r="B20" s="628"/>
      <c r="C20" s="630"/>
      <c r="D20" s="628"/>
      <c r="E20" s="630"/>
      <c r="F20" s="629"/>
      <c r="G20" s="635"/>
      <c r="H20" s="624"/>
      <c r="I20" s="630"/>
      <c r="K20" s="633"/>
      <c r="M20" s="634"/>
      <c r="O20" s="769"/>
      <c r="Q20" s="627"/>
      <c r="R20" s="634"/>
      <c r="T20" s="624"/>
      <c r="W20" s="623"/>
      <c r="X20" s="623"/>
      <c r="Y20" s="633"/>
      <c r="Z20" s="624"/>
      <c r="AB20" s="630"/>
      <c r="AC20" s="630"/>
      <c r="AD20" s="630"/>
      <c r="AE20" s="630"/>
      <c r="AF20" s="630"/>
      <c r="AG20" s="630"/>
    </row>
    <row r="21" spans="1:33">
      <c r="A21" s="628"/>
      <c r="B21" s="628"/>
      <c r="C21" s="630"/>
      <c r="D21" s="628"/>
      <c r="E21" s="630"/>
      <c r="F21" s="629"/>
      <c r="G21" s="635"/>
      <c r="H21" s="624"/>
      <c r="I21" s="630"/>
      <c r="K21" s="633"/>
      <c r="M21" s="634"/>
      <c r="O21" s="769"/>
      <c r="Q21" s="627"/>
      <c r="R21" s="634"/>
      <c r="T21" s="624"/>
      <c r="W21" s="623"/>
      <c r="X21" s="623"/>
      <c r="Y21" s="633"/>
      <c r="Z21" s="624"/>
      <c r="AB21" s="630"/>
      <c r="AC21" s="630"/>
      <c r="AD21" s="630"/>
      <c r="AE21" s="630"/>
      <c r="AF21" s="630"/>
      <c r="AG21" s="630"/>
    </row>
    <row r="22" spans="1:33">
      <c r="A22" s="628"/>
      <c r="B22" s="628"/>
      <c r="C22" s="630"/>
      <c r="D22" s="628"/>
      <c r="E22" s="630"/>
      <c r="F22" s="629"/>
      <c r="G22" s="635"/>
      <c r="H22" s="624"/>
      <c r="I22" s="630"/>
      <c r="K22" s="633"/>
      <c r="M22" s="634"/>
      <c r="O22" s="769"/>
      <c r="Q22" s="627"/>
      <c r="R22" s="634"/>
      <c r="T22" s="624"/>
      <c r="W22" s="623"/>
      <c r="X22" s="623"/>
      <c r="Y22" s="633"/>
      <c r="Z22" s="624"/>
      <c r="AB22" s="630"/>
      <c r="AC22" s="630"/>
      <c r="AD22" s="630"/>
      <c r="AE22" s="630"/>
      <c r="AF22" s="630"/>
      <c r="AG22" s="630"/>
    </row>
    <row r="23" spans="1:33">
      <c r="A23" s="628"/>
      <c r="B23" s="628"/>
      <c r="C23" s="630"/>
      <c r="D23" s="628"/>
      <c r="E23" s="630"/>
      <c r="F23" s="629"/>
      <c r="G23" s="635"/>
      <c r="H23" s="624"/>
      <c r="I23" s="630"/>
      <c r="K23" s="633"/>
      <c r="M23" s="634"/>
      <c r="O23" s="769"/>
      <c r="Q23" s="627"/>
      <c r="R23" s="634"/>
      <c r="T23" s="624"/>
      <c r="W23" s="623"/>
      <c r="X23" s="623"/>
      <c r="Y23" s="633"/>
      <c r="Z23" s="624"/>
      <c r="AB23" s="630"/>
      <c r="AC23" s="630"/>
      <c r="AD23" s="630"/>
      <c r="AE23" s="630"/>
      <c r="AF23" s="630"/>
      <c r="AG23" s="630"/>
    </row>
    <row r="24" spans="1:33">
      <c r="A24" s="628"/>
      <c r="B24" s="628"/>
      <c r="C24" s="630"/>
      <c r="D24" s="628"/>
      <c r="E24" s="630"/>
      <c r="F24" s="629"/>
      <c r="G24" s="635"/>
      <c r="H24" s="624"/>
      <c r="I24" s="630"/>
      <c r="K24" s="633"/>
      <c r="M24" s="634"/>
      <c r="O24" s="769"/>
      <c r="Q24" s="627"/>
      <c r="R24" s="634"/>
      <c r="T24" s="624"/>
      <c r="W24" s="623"/>
      <c r="X24" s="623"/>
      <c r="Y24" s="633"/>
      <c r="Z24" s="624"/>
      <c r="AB24" s="630"/>
      <c r="AC24" s="630"/>
      <c r="AD24" s="630"/>
      <c r="AE24" s="630"/>
      <c r="AF24" s="630"/>
      <c r="AG24" s="630"/>
    </row>
    <row r="25" spans="1:33">
      <c r="A25" s="628"/>
      <c r="B25" s="628"/>
      <c r="C25" s="630"/>
      <c r="D25" s="628"/>
      <c r="E25" s="630"/>
      <c r="F25" s="629"/>
      <c r="G25" s="635"/>
      <c r="H25" s="624"/>
      <c r="I25" s="630"/>
      <c r="K25" s="633"/>
      <c r="M25" s="634"/>
      <c r="O25" s="769"/>
      <c r="Q25" s="627"/>
      <c r="R25" s="634"/>
      <c r="T25" s="624"/>
      <c r="W25" s="623"/>
      <c r="X25" s="623"/>
      <c r="Y25" s="633"/>
      <c r="Z25" s="624"/>
      <c r="AB25" s="630"/>
      <c r="AC25" s="630"/>
      <c r="AD25" s="630"/>
      <c r="AE25" s="630"/>
      <c r="AF25" s="630"/>
      <c r="AG25" s="630"/>
    </row>
    <row r="26" spans="1:33">
      <c r="A26" s="628"/>
      <c r="B26" s="628"/>
      <c r="C26" s="630"/>
      <c r="D26" s="628"/>
      <c r="E26" s="630"/>
      <c r="F26" s="629"/>
      <c r="G26" s="635"/>
      <c r="H26" s="624"/>
      <c r="I26" s="630"/>
      <c r="K26" s="633"/>
      <c r="M26" s="634"/>
      <c r="O26" s="769"/>
      <c r="Q26" s="627"/>
      <c r="R26" s="634"/>
      <c r="T26" s="624"/>
      <c r="W26" s="623"/>
      <c r="X26" s="623"/>
      <c r="Y26" s="633"/>
      <c r="Z26" s="624"/>
      <c r="AB26" s="630"/>
      <c r="AC26" s="630"/>
      <c r="AD26" s="630"/>
      <c r="AE26" s="630"/>
      <c r="AF26" s="630"/>
      <c r="AG26" s="630"/>
    </row>
    <row r="27" spans="1:33">
      <c r="A27" s="628"/>
      <c r="B27" s="628"/>
      <c r="C27" s="630"/>
      <c r="D27" s="628"/>
      <c r="E27" s="630"/>
      <c r="F27" s="629"/>
      <c r="G27" s="635"/>
      <c r="H27" s="624"/>
      <c r="I27" s="630"/>
      <c r="K27" s="633"/>
      <c r="M27" s="634"/>
      <c r="O27" s="769"/>
      <c r="Q27" s="627"/>
      <c r="R27" s="634"/>
      <c r="T27" s="624"/>
      <c r="W27" s="623"/>
      <c r="X27" s="623"/>
      <c r="Y27" s="633"/>
      <c r="Z27" s="624"/>
      <c r="AB27" s="630"/>
      <c r="AC27" s="630"/>
      <c r="AD27" s="630"/>
      <c r="AE27" s="630"/>
      <c r="AF27" s="630"/>
      <c r="AG27" s="630"/>
    </row>
    <row r="28" spans="1:33">
      <c r="A28" s="628"/>
      <c r="B28" s="628"/>
      <c r="C28" s="630"/>
      <c r="D28" s="628"/>
      <c r="E28" s="630"/>
      <c r="F28" s="629"/>
      <c r="G28" s="635"/>
      <c r="H28" s="624"/>
      <c r="I28" s="630"/>
      <c r="K28" s="633"/>
      <c r="M28" s="634"/>
      <c r="O28" s="769"/>
      <c r="Q28" s="627"/>
      <c r="R28" s="634"/>
      <c r="T28" s="624"/>
      <c r="W28" s="623"/>
      <c r="X28" s="623"/>
      <c r="Y28" s="633"/>
      <c r="Z28" s="624"/>
      <c r="AB28" s="630"/>
      <c r="AC28" s="630"/>
      <c r="AD28" s="630"/>
      <c r="AE28" s="630"/>
      <c r="AF28" s="630"/>
      <c r="AG28" s="630"/>
    </row>
    <row r="29" spans="1:33">
      <c r="A29" s="628"/>
      <c r="B29" s="628"/>
      <c r="C29" s="630"/>
      <c r="D29" s="628"/>
      <c r="E29" s="630"/>
      <c r="F29" s="629"/>
      <c r="G29" s="635"/>
      <c r="H29" s="624"/>
      <c r="I29" s="630"/>
      <c r="K29" s="633"/>
      <c r="M29" s="634"/>
      <c r="O29" s="769"/>
      <c r="Q29" s="627"/>
      <c r="R29" s="634"/>
      <c r="T29" s="624"/>
      <c r="W29" s="623"/>
      <c r="X29" s="623"/>
      <c r="Y29" s="633"/>
      <c r="Z29" s="624"/>
      <c r="AB29" s="630"/>
      <c r="AC29" s="630"/>
      <c r="AD29" s="630"/>
      <c r="AE29" s="630"/>
      <c r="AF29" s="630"/>
      <c r="AG29" s="630"/>
    </row>
    <row r="30" spans="1:33">
      <c r="A30" s="628"/>
      <c r="B30" s="628"/>
      <c r="C30" s="630"/>
      <c r="D30" s="628"/>
      <c r="E30" s="630"/>
      <c r="F30" s="629"/>
      <c r="G30" s="635"/>
      <c r="H30" s="624"/>
      <c r="I30" s="630"/>
      <c r="K30" s="633"/>
      <c r="M30" s="634"/>
      <c r="O30" s="769"/>
      <c r="Q30" s="627"/>
      <c r="R30" s="634"/>
      <c r="T30" s="624"/>
      <c r="W30" s="623"/>
      <c r="X30" s="623"/>
      <c r="Y30" s="633"/>
      <c r="Z30" s="624"/>
      <c r="AB30" s="630"/>
      <c r="AC30" s="630"/>
      <c r="AD30" s="630"/>
      <c r="AE30" s="630"/>
      <c r="AF30" s="630"/>
      <c r="AG30" s="630"/>
    </row>
    <row r="31" spans="1:33">
      <c r="A31" s="628"/>
      <c r="B31" s="628"/>
      <c r="C31" s="630"/>
      <c r="D31" s="628"/>
      <c r="E31" s="630"/>
      <c r="F31" s="629"/>
      <c r="G31" s="635"/>
      <c r="H31" s="624"/>
      <c r="I31" s="630"/>
      <c r="K31" s="633"/>
      <c r="M31" s="634"/>
      <c r="O31" s="769"/>
      <c r="Q31" s="627"/>
      <c r="R31" s="634"/>
      <c r="T31" s="624"/>
      <c r="W31" s="623"/>
      <c r="X31" s="623"/>
      <c r="Y31" s="633"/>
      <c r="Z31" s="624"/>
      <c r="AB31" s="630"/>
      <c r="AC31" s="630"/>
      <c r="AD31" s="630"/>
      <c r="AE31" s="630"/>
      <c r="AF31" s="630"/>
      <c r="AG31" s="630"/>
    </row>
    <row r="32" spans="1:33">
      <c r="A32" s="628"/>
      <c r="B32" s="628"/>
      <c r="C32" s="630"/>
      <c r="D32" s="628"/>
      <c r="E32" s="630"/>
      <c r="F32" s="629"/>
      <c r="G32" s="635"/>
      <c r="H32" s="624"/>
      <c r="I32" s="630"/>
      <c r="K32" s="633"/>
      <c r="M32" s="634"/>
      <c r="O32" s="769"/>
      <c r="Q32" s="627"/>
      <c r="R32" s="634"/>
      <c r="T32" s="624"/>
      <c r="W32" s="623"/>
      <c r="X32" s="623"/>
      <c r="Y32" s="633"/>
      <c r="Z32" s="624"/>
      <c r="AB32" s="630"/>
      <c r="AC32" s="630"/>
      <c r="AD32" s="630"/>
      <c r="AE32" s="630"/>
      <c r="AF32" s="630"/>
      <c r="AG32" s="630"/>
    </row>
    <row r="33" spans="1:33">
      <c r="A33" s="628"/>
      <c r="B33" s="628"/>
      <c r="C33" s="630"/>
      <c r="D33" s="628"/>
      <c r="E33" s="630"/>
      <c r="F33" s="629"/>
      <c r="G33" s="635"/>
      <c r="H33" s="624"/>
      <c r="I33" s="630"/>
      <c r="K33" s="633"/>
      <c r="M33" s="634"/>
      <c r="O33" s="769"/>
      <c r="Q33" s="627"/>
      <c r="R33" s="634"/>
      <c r="T33" s="624"/>
      <c r="W33" s="623"/>
      <c r="X33" s="623"/>
      <c r="Y33" s="633"/>
      <c r="Z33" s="624"/>
      <c r="AB33" s="630"/>
      <c r="AC33" s="630"/>
      <c r="AD33" s="630"/>
      <c r="AE33" s="630"/>
      <c r="AF33" s="630"/>
      <c r="AG33" s="630"/>
    </row>
    <row r="34" spans="1:33">
      <c r="A34" s="628"/>
      <c r="B34" s="628"/>
      <c r="C34" s="630"/>
      <c r="D34" s="628"/>
      <c r="E34" s="630"/>
      <c r="F34" s="629"/>
      <c r="G34" s="635"/>
      <c r="H34" s="624"/>
      <c r="I34" s="630"/>
      <c r="K34" s="633"/>
      <c r="M34" s="634"/>
      <c r="O34" s="769"/>
      <c r="Q34" s="627"/>
      <c r="R34" s="634"/>
      <c r="T34" s="624"/>
      <c r="W34" s="623"/>
      <c r="X34" s="623"/>
      <c r="Y34" s="633"/>
      <c r="Z34" s="624"/>
      <c r="AB34" s="630"/>
      <c r="AC34" s="630"/>
      <c r="AD34" s="630"/>
      <c r="AE34" s="630"/>
      <c r="AF34" s="630"/>
      <c r="AG34" s="630"/>
    </row>
    <row r="35" spans="1:33">
      <c r="A35" s="628"/>
      <c r="B35" s="628"/>
      <c r="C35" s="630"/>
      <c r="D35" s="628"/>
      <c r="E35" s="630"/>
      <c r="F35" s="629"/>
      <c r="G35" s="635"/>
      <c r="H35" s="624"/>
      <c r="I35" s="630"/>
      <c r="K35" s="633"/>
      <c r="M35" s="634"/>
      <c r="O35" s="769"/>
      <c r="Q35" s="627"/>
      <c r="R35" s="634"/>
      <c r="T35" s="624"/>
      <c r="W35" s="623"/>
      <c r="X35" s="623"/>
      <c r="Y35" s="633"/>
      <c r="Z35" s="624"/>
      <c r="AB35" s="630"/>
      <c r="AC35" s="630"/>
      <c r="AD35" s="630"/>
      <c r="AE35" s="630"/>
      <c r="AF35" s="630"/>
      <c r="AG35" s="630"/>
    </row>
    <row r="36" spans="1:33">
      <c r="A36" s="628"/>
      <c r="B36" s="628"/>
      <c r="C36" s="630"/>
      <c r="D36" s="628"/>
      <c r="E36" s="630"/>
      <c r="F36" s="629"/>
      <c r="G36" s="635"/>
      <c r="H36" s="624"/>
      <c r="I36" s="630"/>
      <c r="K36" s="633"/>
      <c r="M36" s="634"/>
      <c r="O36" s="769"/>
      <c r="Q36" s="627"/>
      <c r="R36" s="634"/>
      <c r="T36" s="624"/>
      <c r="W36" s="623"/>
      <c r="X36" s="623"/>
      <c r="Y36" s="633"/>
      <c r="Z36" s="624"/>
      <c r="AB36" s="630"/>
      <c r="AC36" s="630"/>
      <c r="AD36" s="630"/>
      <c r="AE36" s="630"/>
      <c r="AF36" s="630"/>
      <c r="AG36" s="630"/>
    </row>
    <row r="37" spans="1:33">
      <c r="A37" s="628"/>
      <c r="B37" s="628"/>
      <c r="C37" s="630"/>
      <c r="D37" s="628"/>
      <c r="E37" s="630"/>
      <c r="F37" s="629"/>
      <c r="G37" s="635"/>
      <c r="H37" s="624"/>
      <c r="I37" s="630"/>
      <c r="K37" s="633"/>
      <c r="M37" s="634"/>
      <c r="O37" s="769"/>
      <c r="Q37" s="627"/>
      <c r="R37" s="634"/>
      <c r="T37" s="624"/>
      <c r="W37" s="623"/>
      <c r="X37" s="623"/>
      <c r="Y37" s="633"/>
      <c r="Z37" s="624"/>
      <c r="AB37" s="630"/>
      <c r="AC37" s="630"/>
      <c r="AD37" s="630"/>
      <c r="AE37" s="630"/>
      <c r="AF37" s="630"/>
      <c r="AG37" s="630"/>
    </row>
    <row r="38" spans="1:33">
      <c r="A38" s="628"/>
      <c r="B38" s="628"/>
      <c r="C38" s="630"/>
      <c r="D38" s="628"/>
      <c r="E38" s="630"/>
      <c r="F38" s="629"/>
      <c r="G38" s="635"/>
      <c r="H38" s="624"/>
      <c r="I38" s="630"/>
      <c r="K38" s="633"/>
      <c r="M38" s="634"/>
      <c r="O38" s="769"/>
      <c r="Q38" s="627"/>
      <c r="R38" s="634"/>
      <c r="T38" s="624"/>
      <c r="W38" s="623"/>
      <c r="X38" s="623"/>
      <c r="Y38" s="633"/>
      <c r="Z38" s="624"/>
      <c r="AB38" s="630"/>
      <c r="AC38" s="630"/>
      <c r="AD38" s="630"/>
      <c r="AE38" s="630"/>
      <c r="AF38" s="630"/>
      <c r="AG38" s="630"/>
    </row>
    <row r="39" spans="1:33">
      <c r="A39" s="628"/>
      <c r="B39" s="628"/>
      <c r="C39" s="630"/>
      <c r="D39" s="628"/>
      <c r="E39" s="630"/>
      <c r="F39" s="629"/>
      <c r="G39" s="635"/>
      <c r="H39" s="624"/>
      <c r="I39" s="630"/>
      <c r="K39" s="633"/>
      <c r="M39" s="634"/>
      <c r="O39" s="769"/>
      <c r="Q39" s="627"/>
      <c r="R39" s="634"/>
      <c r="T39" s="624"/>
      <c r="W39" s="623"/>
      <c r="X39" s="623"/>
      <c r="Y39" s="633"/>
      <c r="Z39" s="624"/>
      <c r="AB39" s="630"/>
      <c r="AC39" s="630"/>
      <c r="AD39" s="630"/>
      <c r="AE39" s="630"/>
      <c r="AF39" s="630"/>
      <c r="AG39" s="630"/>
    </row>
    <row r="40" spans="1:33">
      <c r="A40" s="628"/>
      <c r="B40" s="628"/>
      <c r="C40" s="630"/>
      <c r="D40" s="628"/>
      <c r="E40" s="630"/>
      <c r="F40" s="629"/>
      <c r="G40" s="635"/>
      <c r="H40" s="624"/>
      <c r="I40" s="630"/>
      <c r="K40" s="633"/>
      <c r="M40" s="634"/>
      <c r="O40" s="769"/>
      <c r="Q40" s="627"/>
      <c r="R40" s="634"/>
      <c r="T40" s="624"/>
      <c r="W40" s="623"/>
      <c r="X40" s="623"/>
      <c r="Y40" s="633"/>
      <c r="Z40" s="624"/>
      <c r="AB40" s="630"/>
      <c r="AC40" s="630"/>
      <c r="AD40" s="630"/>
      <c r="AE40" s="630"/>
      <c r="AF40" s="630"/>
      <c r="AG40" s="630"/>
    </row>
    <row r="41" spans="1:33">
      <c r="A41" s="628"/>
      <c r="B41" s="628"/>
      <c r="C41" s="630"/>
      <c r="D41" s="628"/>
      <c r="E41" s="630"/>
      <c r="F41" s="629"/>
      <c r="G41" s="635"/>
      <c r="H41" s="624"/>
      <c r="I41" s="630"/>
      <c r="K41" s="633"/>
      <c r="M41" s="634"/>
      <c r="O41" s="769"/>
      <c r="Q41" s="627"/>
      <c r="R41" s="634"/>
      <c r="T41" s="624"/>
      <c r="W41" s="623"/>
      <c r="X41" s="623"/>
      <c r="Y41" s="633"/>
      <c r="Z41" s="624"/>
      <c r="AB41" s="630"/>
      <c r="AC41" s="630"/>
      <c r="AD41" s="630"/>
      <c r="AE41" s="630"/>
      <c r="AF41" s="630"/>
      <c r="AG41" s="630"/>
    </row>
    <row r="42" spans="1:33">
      <c r="A42" s="628"/>
      <c r="B42" s="628"/>
      <c r="C42" s="630"/>
      <c r="D42" s="628"/>
      <c r="E42" s="630"/>
      <c r="F42" s="629"/>
      <c r="G42" s="635"/>
      <c r="H42" s="624"/>
      <c r="I42" s="630"/>
      <c r="K42" s="633"/>
      <c r="M42" s="634"/>
      <c r="O42" s="769"/>
      <c r="Q42" s="627"/>
      <c r="R42" s="634"/>
      <c r="T42" s="624"/>
      <c r="W42" s="623"/>
      <c r="X42" s="623"/>
      <c r="Y42" s="633"/>
      <c r="Z42" s="624"/>
      <c r="AB42" s="630"/>
      <c r="AC42" s="630"/>
      <c r="AD42" s="630"/>
      <c r="AE42" s="630"/>
      <c r="AF42" s="630"/>
      <c r="AG42" s="630"/>
    </row>
    <row r="43" spans="1:33">
      <c r="A43" s="628"/>
      <c r="B43" s="628"/>
      <c r="C43" s="630"/>
      <c r="D43" s="628"/>
      <c r="E43" s="630"/>
      <c r="F43" s="629"/>
      <c r="G43" s="635"/>
      <c r="H43" s="624"/>
      <c r="I43" s="630"/>
      <c r="K43" s="633"/>
      <c r="M43" s="634"/>
      <c r="O43" s="769"/>
      <c r="Q43" s="627"/>
      <c r="R43" s="634"/>
      <c r="T43" s="624"/>
      <c r="W43" s="623"/>
      <c r="X43" s="623"/>
      <c r="Y43" s="633"/>
      <c r="Z43" s="624"/>
      <c r="AB43" s="630"/>
      <c r="AC43" s="630"/>
      <c r="AD43" s="630"/>
      <c r="AE43" s="630"/>
      <c r="AF43" s="630"/>
      <c r="AG43" s="630"/>
    </row>
    <row r="44" spans="1:33">
      <c r="A44" s="628"/>
      <c r="B44" s="628"/>
      <c r="C44" s="630"/>
      <c r="D44" s="628"/>
      <c r="E44" s="630"/>
      <c r="F44" s="629"/>
      <c r="G44" s="635"/>
      <c r="H44" s="624"/>
      <c r="I44" s="630"/>
      <c r="K44" s="633"/>
      <c r="M44" s="634"/>
      <c r="O44" s="769"/>
      <c r="Q44" s="627"/>
      <c r="R44" s="634"/>
      <c r="T44" s="624"/>
      <c r="W44" s="623"/>
      <c r="X44" s="623"/>
      <c r="Y44" s="633"/>
      <c r="Z44" s="624"/>
      <c r="AB44" s="630"/>
      <c r="AC44" s="630"/>
      <c r="AD44" s="630"/>
      <c r="AE44" s="630"/>
      <c r="AF44" s="630"/>
      <c r="AG44" s="630"/>
    </row>
    <row r="45" spans="1:33">
      <c r="A45" s="628"/>
      <c r="B45" s="628"/>
      <c r="C45" s="630"/>
      <c r="D45" s="628"/>
      <c r="E45" s="630"/>
      <c r="F45" s="629"/>
      <c r="G45" s="635"/>
      <c r="H45" s="624"/>
      <c r="I45" s="630"/>
      <c r="K45" s="633"/>
      <c r="M45" s="634"/>
      <c r="O45" s="769"/>
      <c r="Q45" s="627"/>
      <c r="R45" s="634"/>
      <c r="T45" s="624"/>
      <c r="W45" s="623"/>
      <c r="X45" s="623"/>
      <c r="Y45" s="633"/>
      <c r="Z45" s="624"/>
      <c r="AB45" s="630"/>
      <c r="AC45" s="630"/>
      <c r="AD45" s="630"/>
      <c r="AE45" s="630"/>
      <c r="AF45" s="630"/>
      <c r="AG45" s="630"/>
    </row>
    <row r="46" spans="1:33">
      <c r="A46" s="628"/>
      <c r="B46" s="628"/>
      <c r="C46" s="630"/>
      <c r="D46" s="628"/>
      <c r="E46" s="630"/>
      <c r="F46" s="629"/>
      <c r="G46" s="635"/>
      <c r="H46" s="624"/>
      <c r="I46" s="630"/>
      <c r="K46" s="633"/>
      <c r="M46" s="634"/>
      <c r="O46" s="769"/>
      <c r="Q46" s="627"/>
      <c r="R46" s="634"/>
      <c r="T46" s="624"/>
      <c r="W46" s="623"/>
      <c r="X46" s="623"/>
      <c r="Y46" s="633"/>
      <c r="Z46" s="624"/>
      <c r="AB46" s="630"/>
      <c r="AC46" s="630"/>
      <c r="AD46" s="630"/>
      <c r="AE46" s="630"/>
      <c r="AF46" s="630"/>
      <c r="AG46" s="630"/>
    </row>
    <row r="47" spans="1:33">
      <c r="A47" s="628"/>
      <c r="B47" s="628"/>
      <c r="C47" s="630"/>
      <c r="D47" s="628"/>
      <c r="E47" s="630"/>
      <c r="F47" s="629"/>
      <c r="G47" s="635"/>
      <c r="H47" s="624"/>
      <c r="I47" s="630"/>
      <c r="K47" s="633"/>
      <c r="M47" s="634"/>
      <c r="O47" s="769"/>
      <c r="Q47" s="627"/>
      <c r="R47" s="634"/>
      <c r="T47" s="624"/>
      <c r="W47" s="623"/>
      <c r="X47" s="623"/>
      <c r="Y47" s="633"/>
      <c r="Z47" s="624"/>
      <c r="AB47" s="630"/>
      <c r="AC47" s="630"/>
      <c r="AD47" s="630"/>
      <c r="AE47" s="630"/>
      <c r="AF47" s="630"/>
      <c r="AG47" s="630"/>
    </row>
    <row r="48" spans="1:33">
      <c r="A48" s="628"/>
      <c r="B48" s="628"/>
      <c r="C48" s="630"/>
      <c r="D48" s="628"/>
      <c r="E48" s="630"/>
      <c r="F48" s="629"/>
      <c r="G48" s="635"/>
      <c r="H48" s="624"/>
      <c r="I48" s="630"/>
      <c r="K48" s="633"/>
      <c r="M48" s="634"/>
      <c r="O48" s="769"/>
      <c r="Q48" s="627"/>
      <c r="R48" s="634"/>
      <c r="T48" s="624"/>
      <c r="W48" s="623"/>
      <c r="X48" s="623"/>
      <c r="Y48" s="633"/>
      <c r="Z48" s="624"/>
      <c r="AB48" s="630"/>
      <c r="AC48" s="630"/>
      <c r="AD48" s="630"/>
      <c r="AE48" s="630"/>
      <c r="AF48" s="630"/>
      <c r="AG48" s="630"/>
    </row>
    <row r="49" spans="1:33">
      <c r="A49" s="628"/>
      <c r="B49" s="628"/>
      <c r="C49" s="630"/>
      <c r="D49" s="628"/>
      <c r="E49" s="630"/>
      <c r="F49" s="629"/>
      <c r="G49" s="635"/>
      <c r="H49" s="624"/>
      <c r="I49" s="630"/>
      <c r="K49" s="633"/>
      <c r="M49" s="634"/>
      <c r="O49" s="769"/>
      <c r="Q49" s="627"/>
      <c r="R49" s="634"/>
      <c r="T49" s="624"/>
      <c r="W49" s="623"/>
      <c r="X49" s="623"/>
      <c r="Y49" s="633"/>
      <c r="Z49" s="624"/>
      <c r="AB49" s="630"/>
      <c r="AC49" s="630"/>
      <c r="AD49" s="630"/>
      <c r="AE49" s="630"/>
      <c r="AF49" s="630"/>
      <c r="AG49" s="630"/>
    </row>
    <row r="50" spans="1:33">
      <c r="A50" s="628"/>
      <c r="B50" s="628"/>
      <c r="C50" s="630"/>
      <c r="D50" s="628"/>
      <c r="E50" s="630"/>
      <c r="F50" s="629"/>
      <c r="G50" s="635"/>
      <c r="H50" s="624"/>
      <c r="I50" s="630"/>
      <c r="K50" s="633"/>
      <c r="M50" s="634"/>
      <c r="O50" s="769"/>
      <c r="Q50" s="627"/>
      <c r="R50" s="634"/>
      <c r="T50" s="624"/>
      <c r="W50" s="623"/>
      <c r="X50" s="623"/>
      <c r="Y50" s="633"/>
      <c r="Z50" s="624"/>
      <c r="AB50" s="630"/>
      <c r="AC50" s="630"/>
      <c r="AD50" s="630"/>
      <c r="AE50" s="630"/>
      <c r="AF50" s="630"/>
      <c r="AG50" s="630"/>
    </row>
    <row r="51" spans="1:33">
      <c r="A51" s="628"/>
      <c r="B51" s="628"/>
      <c r="C51" s="630"/>
      <c r="D51" s="628"/>
      <c r="E51" s="630"/>
      <c r="F51" s="629"/>
      <c r="G51" s="635"/>
      <c r="H51" s="624"/>
      <c r="I51" s="630"/>
      <c r="K51" s="633"/>
      <c r="M51" s="634"/>
      <c r="O51" s="769"/>
      <c r="Q51" s="627"/>
      <c r="R51" s="634"/>
      <c r="T51" s="624"/>
      <c r="W51" s="623"/>
      <c r="X51" s="623"/>
      <c r="Y51" s="633"/>
      <c r="Z51" s="624"/>
      <c r="AB51" s="630"/>
      <c r="AC51" s="630"/>
      <c r="AD51" s="630"/>
      <c r="AE51" s="630"/>
      <c r="AF51" s="630"/>
      <c r="AG51" s="630"/>
    </row>
    <row r="52" spans="1:33">
      <c r="A52" s="628"/>
      <c r="B52" s="628"/>
      <c r="C52" s="630"/>
      <c r="D52" s="628"/>
      <c r="E52" s="630"/>
      <c r="F52" s="629"/>
      <c r="G52" s="635"/>
      <c r="H52" s="624"/>
      <c r="I52" s="630"/>
      <c r="K52" s="633"/>
      <c r="M52" s="634"/>
      <c r="O52" s="769"/>
      <c r="Q52" s="627"/>
      <c r="R52" s="634"/>
      <c r="T52" s="624"/>
      <c r="W52" s="623"/>
      <c r="X52" s="623"/>
      <c r="Y52" s="633"/>
      <c r="Z52" s="624"/>
      <c r="AB52" s="630"/>
      <c r="AC52" s="630"/>
      <c r="AD52" s="630"/>
      <c r="AE52" s="630"/>
      <c r="AF52" s="630"/>
      <c r="AG52" s="630"/>
    </row>
    <row r="53" spans="1:33">
      <c r="A53" s="628"/>
      <c r="B53" s="628"/>
      <c r="C53" s="630"/>
      <c r="D53" s="628"/>
      <c r="E53" s="630"/>
      <c r="F53" s="629"/>
      <c r="G53" s="635"/>
      <c r="H53" s="624"/>
      <c r="I53" s="630"/>
      <c r="K53" s="633"/>
      <c r="M53" s="634"/>
      <c r="O53" s="769"/>
      <c r="Q53" s="627"/>
      <c r="R53" s="634"/>
      <c r="T53" s="624"/>
      <c r="W53" s="623"/>
      <c r="X53" s="623"/>
      <c r="Y53" s="633"/>
      <c r="Z53" s="624"/>
      <c r="AB53" s="630"/>
      <c r="AC53" s="630"/>
      <c r="AD53" s="630"/>
      <c r="AE53" s="630"/>
      <c r="AF53" s="630"/>
      <c r="AG53" s="630"/>
    </row>
    <row r="54" spans="1:33">
      <c r="A54" s="628"/>
      <c r="B54" s="628"/>
      <c r="C54" s="630"/>
      <c r="D54" s="628"/>
      <c r="E54" s="630"/>
      <c r="F54" s="629"/>
      <c r="G54" s="635"/>
      <c r="H54" s="624"/>
      <c r="I54" s="630"/>
      <c r="K54" s="633"/>
      <c r="M54" s="634"/>
      <c r="O54" s="769"/>
      <c r="Q54" s="627"/>
      <c r="R54" s="634"/>
      <c r="T54" s="624"/>
      <c r="W54" s="623"/>
      <c r="X54" s="623"/>
      <c r="Y54" s="633"/>
      <c r="Z54" s="624"/>
      <c r="AB54" s="630"/>
      <c r="AC54" s="630"/>
      <c r="AD54" s="630"/>
      <c r="AE54" s="630"/>
      <c r="AF54" s="630"/>
      <c r="AG54" s="630"/>
    </row>
    <row r="55" spans="1:33">
      <c r="A55" s="628"/>
      <c r="B55" s="628"/>
      <c r="C55" s="630"/>
      <c r="D55" s="628"/>
      <c r="E55" s="630"/>
      <c r="F55" s="629"/>
      <c r="G55" s="635"/>
      <c r="H55" s="624"/>
      <c r="I55" s="630"/>
      <c r="K55" s="633"/>
      <c r="M55" s="634"/>
      <c r="O55" s="769"/>
      <c r="Q55" s="627"/>
      <c r="R55" s="634"/>
      <c r="T55" s="624"/>
      <c r="W55" s="623"/>
      <c r="X55" s="623"/>
      <c r="Y55" s="633"/>
      <c r="Z55" s="624"/>
      <c r="AB55" s="630"/>
      <c r="AC55" s="630"/>
      <c r="AD55" s="630"/>
      <c r="AE55" s="630"/>
      <c r="AF55" s="630"/>
      <c r="AG55" s="630"/>
    </row>
    <row r="56" spans="1:33">
      <c r="A56" s="628"/>
      <c r="B56" s="628"/>
      <c r="C56" s="630"/>
      <c r="D56" s="628"/>
      <c r="E56" s="630"/>
      <c r="F56" s="629"/>
      <c r="G56" s="635"/>
      <c r="H56" s="624"/>
      <c r="I56" s="630"/>
      <c r="K56" s="633"/>
      <c r="M56" s="634"/>
      <c r="O56" s="769"/>
      <c r="Q56" s="627"/>
      <c r="R56" s="634"/>
      <c r="T56" s="624"/>
      <c r="W56" s="623"/>
      <c r="X56" s="623"/>
      <c r="Y56" s="633"/>
      <c r="Z56" s="624"/>
      <c r="AB56" s="630"/>
      <c r="AC56" s="630"/>
      <c r="AD56" s="630"/>
      <c r="AE56" s="630"/>
      <c r="AF56" s="630"/>
      <c r="AG56" s="630"/>
    </row>
    <row r="57" spans="1:33">
      <c r="A57" s="628"/>
      <c r="B57" s="628"/>
      <c r="C57" s="630"/>
      <c r="D57" s="628"/>
      <c r="E57" s="630"/>
      <c r="F57" s="629"/>
      <c r="G57" s="635"/>
      <c r="H57" s="624"/>
      <c r="I57" s="630"/>
      <c r="K57" s="633"/>
      <c r="M57" s="634"/>
      <c r="O57" s="769"/>
      <c r="Q57" s="627"/>
      <c r="R57" s="634"/>
      <c r="T57" s="624"/>
      <c r="W57" s="623"/>
      <c r="X57" s="623"/>
      <c r="Y57" s="633"/>
      <c r="Z57" s="624"/>
      <c r="AB57" s="630"/>
      <c r="AC57" s="630"/>
      <c r="AD57" s="630"/>
      <c r="AE57" s="630"/>
      <c r="AF57" s="630"/>
      <c r="AG57" s="630"/>
    </row>
    <row r="58" spans="1:33">
      <c r="A58" s="628"/>
      <c r="B58" s="628"/>
      <c r="C58" s="630"/>
      <c r="D58" s="628"/>
      <c r="E58" s="630"/>
      <c r="F58" s="629"/>
      <c r="G58" s="635"/>
      <c r="H58" s="624"/>
      <c r="I58" s="630"/>
      <c r="K58" s="633"/>
      <c r="M58" s="634"/>
      <c r="O58" s="769"/>
      <c r="Q58" s="627"/>
      <c r="R58" s="634"/>
      <c r="T58" s="624"/>
      <c r="W58" s="623"/>
      <c r="X58" s="623"/>
      <c r="Y58" s="633"/>
      <c r="Z58" s="624"/>
      <c r="AB58" s="630"/>
      <c r="AC58" s="630"/>
      <c r="AD58" s="630"/>
      <c r="AE58" s="630"/>
      <c r="AF58" s="630"/>
      <c r="AG58" s="630"/>
    </row>
    <row r="59" spans="1:33">
      <c r="A59" s="628"/>
      <c r="B59" s="628"/>
      <c r="C59" s="630"/>
      <c r="D59" s="628"/>
      <c r="E59" s="630"/>
      <c r="F59" s="629"/>
      <c r="G59" s="635"/>
      <c r="H59" s="624"/>
      <c r="I59" s="630"/>
      <c r="K59" s="633"/>
      <c r="M59" s="634"/>
      <c r="O59" s="769"/>
      <c r="Q59" s="627"/>
      <c r="R59" s="634"/>
      <c r="T59" s="624"/>
      <c r="W59" s="623"/>
      <c r="X59" s="623"/>
      <c r="Y59" s="633"/>
      <c r="Z59" s="624"/>
      <c r="AB59" s="630"/>
      <c r="AC59" s="630"/>
      <c r="AD59" s="630"/>
      <c r="AE59" s="630"/>
      <c r="AF59" s="630"/>
      <c r="AG59" s="630"/>
    </row>
    <row r="60" spans="1:33">
      <c r="A60" s="628"/>
      <c r="B60" s="628"/>
      <c r="C60" s="630"/>
      <c r="D60" s="628"/>
      <c r="E60" s="630"/>
      <c r="F60" s="629"/>
      <c r="G60" s="635"/>
      <c r="H60" s="624"/>
      <c r="I60" s="630"/>
      <c r="K60" s="633"/>
      <c r="M60" s="634"/>
      <c r="O60" s="769"/>
      <c r="Q60" s="627"/>
      <c r="R60" s="634"/>
      <c r="T60" s="624"/>
      <c r="W60" s="623"/>
      <c r="X60" s="623"/>
      <c r="Y60" s="633"/>
      <c r="Z60" s="624"/>
      <c r="AB60" s="630"/>
      <c r="AC60" s="630"/>
      <c r="AD60" s="630"/>
      <c r="AE60" s="630"/>
      <c r="AF60" s="630"/>
      <c r="AG60" s="630"/>
    </row>
    <row r="61" spans="1:33">
      <c r="A61" s="628"/>
      <c r="B61" s="628"/>
      <c r="C61" s="630"/>
      <c r="D61" s="628"/>
      <c r="E61" s="630"/>
      <c r="F61" s="629"/>
      <c r="G61" s="635"/>
      <c r="H61" s="624"/>
      <c r="I61" s="630"/>
      <c r="K61" s="633"/>
      <c r="M61" s="634"/>
      <c r="O61" s="769"/>
      <c r="Q61" s="627"/>
      <c r="R61" s="634"/>
      <c r="T61" s="624"/>
      <c r="W61" s="623"/>
      <c r="X61" s="623"/>
      <c r="Y61" s="633"/>
      <c r="Z61" s="624"/>
      <c r="AB61" s="630"/>
      <c r="AC61" s="630"/>
      <c r="AD61" s="630"/>
      <c r="AE61" s="630"/>
      <c r="AF61" s="630"/>
      <c r="AG61" s="630"/>
    </row>
    <row r="62" spans="1:33">
      <c r="A62" s="628"/>
      <c r="B62" s="628"/>
      <c r="C62" s="630"/>
      <c r="D62" s="628"/>
      <c r="E62" s="630"/>
      <c r="F62" s="629"/>
      <c r="G62" s="635"/>
      <c r="H62" s="624"/>
      <c r="I62" s="630"/>
      <c r="K62" s="633"/>
      <c r="M62" s="634"/>
      <c r="O62" s="769"/>
      <c r="Q62" s="627"/>
      <c r="R62" s="634"/>
      <c r="T62" s="624"/>
      <c r="W62" s="623"/>
      <c r="X62" s="623"/>
      <c r="Y62" s="633"/>
      <c r="Z62" s="624"/>
      <c r="AB62" s="630"/>
      <c r="AC62" s="630"/>
      <c r="AD62" s="630"/>
      <c r="AE62" s="630"/>
      <c r="AF62" s="630"/>
      <c r="AG62" s="630"/>
    </row>
    <row r="63" spans="1:33">
      <c r="A63" s="628"/>
      <c r="B63" s="628"/>
      <c r="C63" s="630"/>
      <c r="D63" s="628"/>
      <c r="E63" s="630"/>
      <c r="F63" s="629"/>
      <c r="G63" s="635"/>
      <c r="H63" s="624"/>
      <c r="I63" s="630"/>
      <c r="K63" s="633"/>
      <c r="M63" s="634"/>
      <c r="O63" s="769"/>
      <c r="Q63" s="627"/>
      <c r="R63" s="634"/>
      <c r="T63" s="624"/>
      <c r="W63" s="623"/>
      <c r="X63" s="623"/>
      <c r="Y63" s="633"/>
      <c r="Z63" s="624"/>
      <c r="AB63" s="630"/>
      <c r="AC63" s="630"/>
      <c r="AD63" s="630"/>
      <c r="AE63" s="630"/>
      <c r="AF63" s="630"/>
      <c r="AG63" s="630"/>
    </row>
    <row r="64" spans="1:33">
      <c r="A64" s="628"/>
      <c r="B64" s="628"/>
      <c r="C64" s="630"/>
      <c r="D64" s="628"/>
      <c r="E64" s="630"/>
      <c r="F64" s="629"/>
      <c r="G64" s="635"/>
      <c r="H64" s="624"/>
      <c r="I64" s="630"/>
      <c r="K64" s="633"/>
      <c r="M64" s="634"/>
      <c r="O64" s="769"/>
      <c r="Q64" s="627"/>
      <c r="R64" s="634"/>
      <c r="T64" s="624"/>
      <c r="W64" s="623"/>
      <c r="X64" s="623"/>
      <c r="Y64" s="633"/>
      <c r="Z64" s="624"/>
      <c r="AB64" s="630"/>
      <c r="AC64" s="630"/>
      <c r="AD64" s="630"/>
      <c r="AE64" s="630"/>
      <c r="AF64" s="630"/>
      <c r="AG64" s="630"/>
    </row>
    <row r="65" spans="1:33">
      <c r="A65" s="628"/>
      <c r="B65" s="628"/>
      <c r="C65" s="630"/>
      <c r="D65" s="628"/>
      <c r="E65" s="630"/>
      <c r="F65" s="629"/>
      <c r="G65" s="635"/>
      <c r="H65" s="624"/>
      <c r="I65" s="630"/>
      <c r="K65" s="633"/>
      <c r="M65" s="634"/>
      <c r="O65" s="769"/>
      <c r="Q65" s="627"/>
      <c r="R65" s="634"/>
      <c r="T65" s="624"/>
      <c r="W65" s="623"/>
      <c r="X65" s="623"/>
      <c r="Y65" s="633"/>
      <c r="Z65" s="624"/>
      <c r="AB65" s="630"/>
      <c r="AC65" s="630"/>
      <c r="AD65" s="630"/>
      <c r="AE65" s="630"/>
      <c r="AF65" s="630"/>
      <c r="AG65" s="630"/>
    </row>
    <row r="66" spans="1:33">
      <c r="A66" s="628"/>
      <c r="B66" s="628"/>
      <c r="C66" s="630"/>
      <c r="D66" s="628"/>
      <c r="E66" s="630"/>
      <c r="F66" s="629"/>
      <c r="G66" s="635"/>
      <c r="H66" s="624"/>
      <c r="I66" s="630"/>
      <c r="K66" s="633"/>
      <c r="M66" s="634"/>
      <c r="O66" s="769"/>
      <c r="Q66" s="627"/>
      <c r="R66" s="634"/>
      <c r="T66" s="624"/>
      <c r="W66" s="623"/>
      <c r="X66" s="623"/>
      <c r="Y66" s="633"/>
      <c r="Z66" s="624"/>
      <c r="AB66" s="630"/>
      <c r="AC66" s="630"/>
      <c r="AD66" s="630"/>
      <c r="AE66" s="630"/>
      <c r="AF66" s="630"/>
      <c r="AG66" s="630"/>
    </row>
    <row r="67" spans="1:33">
      <c r="A67" s="628"/>
      <c r="B67" s="628"/>
      <c r="C67" s="630"/>
      <c r="D67" s="628"/>
      <c r="E67" s="630"/>
      <c r="F67" s="629"/>
      <c r="G67" s="635"/>
      <c r="H67" s="624"/>
      <c r="I67" s="630"/>
      <c r="K67" s="633"/>
      <c r="M67" s="634"/>
      <c r="O67" s="769"/>
      <c r="Q67" s="627"/>
      <c r="R67" s="634"/>
      <c r="T67" s="624"/>
      <c r="W67" s="623"/>
      <c r="X67" s="623"/>
      <c r="Y67" s="633"/>
      <c r="Z67" s="624"/>
      <c r="AB67" s="630"/>
      <c r="AC67" s="630"/>
      <c r="AD67" s="630"/>
      <c r="AE67" s="630"/>
      <c r="AF67" s="630"/>
      <c r="AG67" s="630"/>
    </row>
    <row r="68" spans="1:33">
      <c r="A68" s="628"/>
      <c r="B68" s="628"/>
      <c r="C68" s="630"/>
      <c r="D68" s="628"/>
      <c r="E68" s="630"/>
      <c r="F68" s="629"/>
      <c r="G68" s="635"/>
      <c r="H68" s="624"/>
      <c r="I68" s="630"/>
      <c r="K68" s="633"/>
      <c r="M68" s="634"/>
      <c r="O68" s="769"/>
      <c r="Q68" s="627"/>
      <c r="R68" s="634"/>
      <c r="T68" s="624"/>
      <c r="W68" s="623"/>
      <c r="X68" s="623"/>
      <c r="Y68" s="633"/>
      <c r="Z68" s="624"/>
      <c r="AB68" s="630"/>
      <c r="AC68" s="630"/>
      <c r="AD68" s="630"/>
      <c r="AE68" s="630"/>
      <c r="AF68" s="630"/>
      <c r="AG68" s="630"/>
    </row>
    <row r="69" spans="1:33">
      <c r="A69" s="628"/>
      <c r="B69" s="628"/>
      <c r="C69" s="630"/>
      <c r="D69" s="628"/>
      <c r="E69" s="630"/>
      <c r="F69" s="629"/>
      <c r="G69" s="635"/>
      <c r="H69" s="624"/>
      <c r="I69" s="630"/>
      <c r="K69" s="633"/>
      <c r="M69" s="634"/>
      <c r="O69" s="769"/>
      <c r="Q69" s="627"/>
      <c r="R69" s="634"/>
      <c r="T69" s="624"/>
      <c r="W69" s="623"/>
      <c r="X69" s="623"/>
      <c r="Y69" s="633"/>
      <c r="Z69" s="624"/>
      <c r="AB69" s="630"/>
      <c r="AC69" s="630"/>
      <c r="AD69" s="630"/>
      <c r="AE69" s="630"/>
      <c r="AF69" s="630"/>
      <c r="AG69" s="630"/>
    </row>
    <row r="70" spans="1:33">
      <c r="A70" s="628"/>
      <c r="B70" s="628"/>
      <c r="C70" s="630"/>
      <c r="D70" s="628"/>
      <c r="E70" s="630"/>
      <c r="F70" s="629"/>
      <c r="G70" s="635"/>
      <c r="H70" s="624"/>
      <c r="I70" s="630"/>
      <c r="K70" s="633"/>
      <c r="M70" s="634"/>
      <c r="O70" s="769"/>
      <c r="Q70" s="627"/>
      <c r="R70" s="634"/>
      <c r="T70" s="624"/>
      <c r="W70" s="623"/>
      <c r="X70" s="623"/>
      <c r="Y70" s="633"/>
      <c r="Z70" s="624"/>
      <c r="AB70" s="630"/>
      <c r="AC70" s="630"/>
      <c r="AD70" s="630"/>
      <c r="AE70" s="630"/>
      <c r="AF70" s="630"/>
      <c r="AG70" s="630"/>
    </row>
    <row r="71" spans="1:33">
      <c r="A71" s="628"/>
      <c r="B71" s="628"/>
      <c r="C71" s="630"/>
      <c r="D71" s="628"/>
      <c r="E71" s="630"/>
      <c r="F71" s="629"/>
      <c r="G71" s="635"/>
      <c r="H71" s="624"/>
      <c r="I71" s="630"/>
      <c r="K71" s="633"/>
      <c r="M71" s="634"/>
      <c r="O71" s="769"/>
      <c r="Q71" s="627"/>
      <c r="R71" s="634"/>
      <c r="T71" s="624"/>
      <c r="W71" s="623"/>
      <c r="X71" s="623"/>
      <c r="Y71" s="633"/>
      <c r="Z71" s="624"/>
      <c r="AB71" s="630"/>
      <c r="AC71" s="630"/>
      <c r="AD71" s="630"/>
      <c r="AE71" s="630"/>
      <c r="AF71" s="630"/>
      <c r="AG71" s="630"/>
    </row>
    <row r="72" spans="1:33">
      <c r="A72" s="628"/>
      <c r="B72" s="628"/>
      <c r="C72" s="630"/>
      <c r="D72" s="628"/>
      <c r="E72" s="630"/>
      <c r="F72" s="629"/>
      <c r="G72" s="635"/>
      <c r="H72" s="624"/>
      <c r="I72" s="630"/>
      <c r="K72" s="633"/>
      <c r="M72" s="634"/>
      <c r="O72" s="769"/>
      <c r="Q72" s="627"/>
      <c r="R72" s="634"/>
      <c r="T72" s="624"/>
      <c r="W72" s="623"/>
      <c r="X72" s="623"/>
      <c r="Y72" s="633"/>
      <c r="Z72" s="624"/>
      <c r="AB72" s="630"/>
      <c r="AC72" s="630"/>
      <c r="AD72" s="630"/>
      <c r="AE72" s="630"/>
      <c r="AF72" s="630"/>
      <c r="AG72" s="630"/>
    </row>
    <row r="73" spans="1:33">
      <c r="A73" s="628"/>
      <c r="B73" s="628"/>
      <c r="C73" s="630"/>
      <c r="D73" s="628"/>
      <c r="E73" s="630"/>
      <c r="F73" s="629"/>
      <c r="G73" s="635"/>
      <c r="H73" s="624"/>
      <c r="I73" s="630"/>
      <c r="K73" s="633"/>
      <c r="M73" s="634"/>
      <c r="O73" s="769"/>
      <c r="Q73" s="627"/>
      <c r="R73" s="634"/>
      <c r="T73" s="624"/>
      <c r="W73" s="623"/>
      <c r="X73" s="623"/>
      <c r="Y73" s="633"/>
      <c r="Z73" s="624"/>
      <c r="AB73" s="630"/>
      <c r="AC73" s="630"/>
      <c r="AD73" s="630"/>
      <c r="AE73" s="630"/>
      <c r="AF73" s="630"/>
      <c r="AG73" s="630"/>
    </row>
    <row r="74" spans="1:33">
      <c r="A74" s="628"/>
      <c r="B74" s="628"/>
      <c r="C74" s="630"/>
      <c r="D74" s="628"/>
      <c r="E74" s="630"/>
      <c r="F74" s="629"/>
      <c r="G74" s="635"/>
      <c r="H74" s="624"/>
      <c r="I74" s="630"/>
      <c r="K74" s="633"/>
      <c r="M74" s="634"/>
      <c r="O74" s="769"/>
      <c r="Q74" s="627"/>
      <c r="R74" s="634"/>
      <c r="T74" s="624"/>
      <c r="W74" s="623"/>
      <c r="X74" s="623"/>
      <c r="Y74" s="633"/>
      <c r="Z74" s="624"/>
      <c r="AB74" s="630"/>
      <c r="AC74" s="630"/>
      <c r="AD74" s="630"/>
      <c r="AE74" s="630"/>
      <c r="AF74" s="630"/>
      <c r="AG74" s="630"/>
    </row>
    <row r="75" spans="1:33">
      <c r="A75" s="628"/>
      <c r="B75" s="628"/>
      <c r="C75" s="630"/>
      <c r="D75" s="628"/>
      <c r="E75" s="630"/>
      <c r="F75" s="629"/>
      <c r="G75" s="635"/>
      <c r="H75" s="624"/>
      <c r="I75" s="630"/>
      <c r="K75" s="633"/>
      <c r="M75" s="634"/>
      <c r="O75" s="769"/>
      <c r="Q75" s="627"/>
      <c r="R75" s="634"/>
      <c r="T75" s="624"/>
      <c r="W75" s="623"/>
      <c r="X75" s="623"/>
      <c r="Y75" s="633"/>
      <c r="Z75" s="624"/>
      <c r="AB75" s="630"/>
      <c r="AC75" s="630"/>
      <c r="AD75" s="630"/>
      <c r="AE75" s="630"/>
      <c r="AF75" s="630"/>
      <c r="AG75" s="630"/>
    </row>
    <row r="76" spans="1:33">
      <c r="A76" s="628"/>
      <c r="B76" s="628"/>
      <c r="C76" s="630"/>
      <c r="D76" s="628"/>
      <c r="E76" s="630"/>
      <c r="F76" s="629"/>
      <c r="G76" s="635"/>
      <c r="H76" s="624"/>
      <c r="I76" s="630"/>
      <c r="K76" s="633"/>
      <c r="M76" s="634"/>
      <c r="O76" s="769"/>
      <c r="Q76" s="627"/>
      <c r="R76" s="634"/>
      <c r="T76" s="624"/>
      <c r="W76" s="623"/>
      <c r="X76" s="623"/>
      <c r="Y76" s="633"/>
      <c r="Z76" s="624"/>
      <c r="AB76" s="630"/>
      <c r="AC76" s="630"/>
      <c r="AD76" s="630"/>
      <c r="AE76" s="630"/>
      <c r="AF76" s="630"/>
      <c r="AG76" s="630"/>
    </row>
    <row r="77" spans="1:33">
      <c r="A77" s="628"/>
      <c r="B77" s="628"/>
      <c r="C77" s="630"/>
      <c r="D77" s="628"/>
      <c r="E77" s="630"/>
      <c r="F77" s="629"/>
      <c r="G77" s="635"/>
      <c r="H77" s="624"/>
      <c r="I77" s="630"/>
      <c r="K77" s="633"/>
      <c r="M77" s="634"/>
      <c r="O77" s="769"/>
      <c r="Q77" s="627"/>
      <c r="R77" s="634"/>
      <c r="T77" s="624"/>
      <c r="W77" s="623"/>
      <c r="X77" s="623"/>
      <c r="Y77" s="633"/>
      <c r="Z77" s="624"/>
      <c r="AB77" s="630"/>
      <c r="AC77" s="630"/>
      <c r="AD77" s="630"/>
      <c r="AE77" s="630"/>
      <c r="AF77" s="630"/>
      <c r="AG77" s="630"/>
    </row>
    <row r="78" spans="1:33">
      <c r="A78" s="628"/>
      <c r="B78" s="628"/>
      <c r="C78" s="630"/>
      <c r="D78" s="628"/>
      <c r="E78" s="630"/>
      <c r="F78" s="629"/>
      <c r="G78" s="635"/>
      <c r="H78" s="624"/>
      <c r="I78" s="630"/>
      <c r="K78" s="633"/>
      <c r="M78" s="634"/>
      <c r="O78" s="769"/>
      <c r="Q78" s="627"/>
      <c r="R78" s="634"/>
      <c r="T78" s="624"/>
      <c r="W78" s="623"/>
      <c r="X78" s="623"/>
      <c r="Y78" s="633"/>
      <c r="Z78" s="624"/>
      <c r="AB78" s="630"/>
      <c r="AC78" s="630"/>
      <c r="AD78" s="630"/>
      <c r="AE78" s="630"/>
      <c r="AF78" s="630"/>
      <c r="AG78" s="630"/>
    </row>
    <row r="79" spans="1:33">
      <c r="A79" s="628"/>
      <c r="B79" s="628"/>
      <c r="C79" s="630"/>
      <c r="D79" s="628"/>
      <c r="E79" s="630"/>
      <c r="F79" s="629"/>
      <c r="G79" s="635"/>
      <c r="H79" s="624"/>
      <c r="I79" s="630"/>
      <c r="K79" s="633"/>
      <c r="M79" s="634"/>
      <c r="O79" s="769"/>
      <c r="Q79" s="627"/>
      <c r="R79" s="634"/>
      <c r="T79" s="624"/>
      <c r="W79" s="623"/>
      <c r="X79" s="623"/>
      <c r="Y79" s="633"/>
      <c r="Z79" s="624"/>
      <c r="AB79" s="630"/>
      <c r="AC79" s="630"/>
      <c r="AD79" s="630"/>
      <c r="AE79" s="630"/>
      <c r="AF79" s="630"/>
      <c r="AG79" s="630"/>
    </row>
    <row r="80" spans="1:33">
      <c r="A80" s="628"/>
      <c r="B80" s="628"/>
      <c r="C80" s="630"/>
      <c r="D80" s="628"/>
      <c r="E80" s="630"/>
      <c r="F80" s="629"/>
      <c r="G80" s="635"/>
      <c r="H80" s="624"/>
      <c r="I80" s="630"/>
      <c r="K80" s="633"/>
      <c r="M80" s="634"/>
      <c r="O80" s="769"/>
      <c r="Q80" s="627"/>
      <c r="R80" s="634"/>
      <c r="T80" s="624"/>
      <c r="W80" s="623"/>
      <c r="X80" s="623"/>
      <c r="Y80" s="633"/>
      <c r="Z80" s="624"/>
      <c r="AB80" s="630"/>
      <c r="AC80" s="630"/>
      <c r="AD80" s="630"/>
      <c r="AE80" s="630"/>
      <c r="AF80" s="630"/>
      <c r="AG80" s="630"/>
    </row>
    <row r="81" spans="1:33">
      <c r="A81" s="628"/>
      <c r="B81" s="628"/>
      <c r="C81" s="630"/>
      <c r="D81" s="628"/>
      <c r="E81" s="630"/>
      <c r="F81" s="629"/>
      <c r="G81" s="635"/>
      <c r="H81" s="624"/>
      <c r="I81" s="630"/>
      <c r="K81" s="633"/>
      <c r="M81" s="634"/>
      <c r="O81" s="769"/>
      <c r="Q81" s="627"/>
      <c r="R81" s="634"/>
      <c r="T81" s="624"/>
      <c r="W81" s="623"/>
      <c r="X81" s="623"/>
      <c r="Y81" s="633"/>
      <c r="Z81" s="624"/>
      <c r="AB81" s="630"/>
      <c r="AC81" s="630"/>
      <c r="AD81" s="630"/>
      <c r="AE81" s="630"/>
      <c r="AF81" s="630"/>
      <c r="AG81" s="630"/>
    </row>
    <row r="82" spans="1:33">
      <c r="A82" s="628"/>
      <c r="B82" s="628"/>
      <c r="C82" s="630"/>
      <c r="D82" s="628"/>
      <c r="E82" s="630"/>
      <c r="F82" s="629"/>
      <c r="G82" s="635"/>
      <c r="H82" s="624"/>
      <c r="I82" s="630"/>
      <c r="K82" s="633"/>
      <c r="M82" s="634"/>
      <c r="O82" s="769"/>
      <c r="Q82" s="627"/>
      <c r="R82" s="634"/>
      <c r="T82" s="624"/>
      <c r="W82" s="623"/>
      <c r="X82" s="623"/>
      <c r="Y82" s="633"/>
      <c r="Z82" s="624"/>
      <c r="AB82" s="630"/>
      <c r="AC82" s="630"/>
      <c r="AD82" s="630"/>
      <c r="AE82" s="630"/>
      <c r="AF82" s="630"/>
      <c r="AG82" s="630"/>
    </row>
    <row r="83" spans="1:33">
      <c r="A83" s="628"/>
      <c r="B83" s="628"/>
      <c r="C83" s="630"/>
      <c r="D83" s="628"/>
      <c r="E83" s="630"/>
      <c r="F83" s="629"/>
      <c r="G83" s="635"/>
      <c r="H83" s="624"/>
      <c r="I83" s="630"/>
      <c r="K83" s="633"/>
      <c r="M83" s="634"/>
      <c r="O83" s="769"/>
      <c r="Q83" s="627"/>
      <c r="R83" s="634"/>
      <c r="T83" s="624"/>
      <c r="W83" s="623"/>
      <c r="X83" s="623"/>
      <c r="Y83" s="633"/>
      <c r="Z83" s="624"/>
      <c r="AB83" s="630"/>
      <c r="AC83" s="630"/>
      <c r="AD83" s="630"/>
      <c r="AE83" s="630"/>
      <c r="AF83" s="630"/>
      <c r="AG83" s="630"/>
    </row>
    <row r="84" spans="1:33">
      <c r="A84" s="628"/>
      <c r="B84" s="628"/>
      <c r="C84" s="630"/>
      <c r="D84" s="628"/>
      <c r="E84" s="630"/>
      <c r="F84" s="629"/>
      <c r="G84" s="635"/>
      <c r="H84" s="624"/>
      <c r="I84" s="630"/>
      <c r="K84" s="633"/>
      <c r="M84" s="634"/>
      <c r="O84" s="769"/>
      <c r="Q84" s="627"/>
      <c r="R84" s="634"/>
      <c r="T84" s="624"/>
      <c r="W84" s="623"/>
      <c r="X84" s="623"/>
      <c r="Y84" s="633"/>
      <c r="Z84" s="624"/>
      <c r="AB84" s="630"/>
      <c r="AC84" s="630"/>
      <c r="AD84" s="630"/>
      <c r="AE84" s="630"/>
      <c r="AF84" s="630"/>
      <c r="AG84" s="630"/>
    </row>
    <row r="85" spans="1:33">
      <c r="A85" s="628"/>
      <c r="B85" s="628"/>
      <c r="C85" s="630"/>
      <c r="D85" s="628"/>
      <c r="E85" s="630"/>
      <c r="F85" s="629"/>
      <c r="G85" s="635"/>
      <c r="H85" s="624"/>
      <c r="I85" s="630"/>
      <c r="K85" s="633"/>
      <c r="M85" s="634"/>
      <c r="O85" s="769"/>
      <c r="Q85" s="627"/>
      <c r="R85" s="634"/>
      <c r="T85" s="624"/>
      <c r="W85" s="623"/>
      <c r="X85" s="623"/>
      <c r="Y85" s="633"/>
      <c r="Z85" s="624"/>
      <c r="AB85" s="630"/>
      <c r="AC85" s="630"/>
      <c r="AD85" s="630"/>
      <c r="AE85" s="630"/>
      <c r="AF85" s="630"/>
      <c r="AG85" s="630"/>
    </row>
    <row r="86" spans="1:33">
      <c r="A86" s="628"/>
      <c r="B86" s="628"/>
      <c r="C86" s="630"/>
      <c r="D86" s="628"/>
      <c r="E86" s="630"/>
      <c r="F86" s="629"/>
      <c r="G86" s="635"/>
      <c r="H86" s="624"/>
      <c r="I86" s="630"/>
      <c r="K86" s="633"/>
      <c r="M86" s="634"/>
      <c r="O86" s="769"/>
      <c r="Q86" s="627"/>
      <c r="R86" s="634"/>
      <c r="T86" s="624"/>
      <c r="W86" s="623"/>
      <c r="X86" s="623"/>
      <c r="Y86" s="633"/>
      <c r="Z86" s="624"/>
      <c r="AB86" s="630"/>
      <c r="AC86" s="630"/>
      <c r="AD86" s="630"/>
      <c r="AE86" s="630"/>
      <c r="AF86" s="630"/>
      <c r="AG86" s="630"/>
    </row>
    <row r="87" spans="1:33">
      <c r="A87" s="628"/>
      <c r="B87" s="628"/>
      <c r="C87" s="630"/>
      <c r="D87" s="628"/>
      <c r="E87" s="630"/>
      <c r="F87" s="629"/>
      <c r="G87" s="635"/>
      <c r="H87" s="624"/>
      <c r="I87" s="630"/>
      <c r="K87" s="633"/>
      <c r="M87" s="634"/>
      <c r="O87" s="769"/>
      <c r="Q87" s="627"/>
      <c r="R87" s="634"/>
      <c r="T87" s="624"/>
      <c r="W87" s="623"/>
      <c r="X87" s="623"/>
      <c r="Y87" s="633"/>
      <c r="Z87" s="624"/>
      <c r="AB87" s="630"/>
      <c r="AC87" s="630"/>
      <c r="AD87" s="630"/>
      <c r="AE87" s="630"/>
      <c r="AF87" s="630"/>
      <c r="AG87" s="630"/>
    </row>
    <row r="88" spans="1:33">
      <c r="A88" s="628"/>
      <c r="B88" s="628"/>
      <c r="C88" s="630"/>
      <c r="D88" s="628"/>
      <c r="E88" s="630"/>
      <c r="F88" s="629"/>
      <c r="G88" s="635"/>
      <c r="H88" s="624"/>
      <c r="I88" s="630"/>
      <c r="K88" s="633"/>
      <c r="M88" s="634"/>
      <c r="O88" s="769"/>
      <c r="Q88" s="627"/>
      <c r="R88" s="634"/>
      <c r="T88" s="624"/>
      <c r="W88" s="623"/>
      <c r="X88" s="623"/>
      <c r="Y88" s="633"/>
      <c r="Z88" s="624"/>
      <c r="AB88" s="630"/>
      <c r="AC88" s="630"/>
      <c r="AD88" s="630"/>
      <c r="AE88" s="630"/>
      <c r="AF88" s="630"/>
      <c r="AG88" s="630"/>
    </row>
    <row r="89" spans="1:33">
      <c r="A89" s="628"/>
      <c r="B89" s="628"/>
      <c r="C89" s="630"/>
      <c r="D89" s="628"/>
      <c r="E89" s="630"/>
      <c r="F89" s="629"/>
      <c r="G89" s="635"/>
      <c r="H89" s="624"/>
      <c r="I89" s="630"/>
      <c r="K89" s="633"/>
      <c r="M89" s="634"/>
      <c r="O89" s="769"/>
      <c r="Q89" s="627"/>
      <c r="R89" s="634"/>
      <c r="T89" s="624"/>
      <c r="W89" s="623"/>
      <c r="X89" s="623"/>
      <c r="Y89" s="633"/>
      <c r="Z89" s="624"/>
      <c r="AB89" s="630"/>
      <c r="AC89" s="630"/>
      <c r="AD89" s="630"/>
      <c r="AE89" s="630"/>
      <c r="AF89" s="630"/>
      <c r="AG89" s="630"/>
    </row>
    <row r="90" spans="1:33">
      <c r="A90" s="628"/>
      <c r="B90" s="628"/>
      <c r="C90" s="630"/>
      <c r="D90" s="628"/>
      <c r="E90" s="630"/>
      <c r="F90" s="629"/>
      <c r="G90" s="635"/>
      <c r="H90" s="624"/>
      <c r="I90" s="630"/>
      <c r="K90" s="633"/>
      <c r="M90" s="634"/>
      <c r="O90" s="769"/>
      <c r="Q90" s="627"/>
      <c r="R90" s="634"/>
      <c r="T90" s="624"/>
      <c r="W90" s="623"/>
      <c r="X90" s="623"/>
      <c r="Y90" s="633"/>
      <c r="Z90" s="624"/>
      <c r="AB90" s="630"/>
      <c r="AC90" s="630"/>
      <c r="AD90" s="630"/>
      <c r="AE90" s="630"/>
      <c r="AF90" s="630"/>
      <c r="AG90" s="630"/>
    </row>
    <row r="91" spans="1:33">
      <c r="A91" s="628"/>
      <c r="B91" s="628"/>
      <c r="C91" s="630"/>
      <c r="D91" s="628"/>
      <c r="E91" s="630"/>
      <c r="F91" s="629"/>
      <c r="G91" s="635"/>
      <c r="H91" s="624"/>
      <c r="I91" s="630"/>
      <c r="K91" s="633"/>
      <c r="M91" s="634"/>
      <c r="O91" s="769"/>
      <c r="Q91" s="627"/>
      <c r="R91" s="634"/>
      <c r="T91" s="624"/>
      <c r="W91" s="623"/>
      <c r="X91" s="623"/>
      <c r="Y91" s="633"/>
      <c r="Z91" s="624"/>
      <c r="AB91" s="630"/>
      <c r="AC91" s="630"/>
      <c r="AD91" s="630"/>
      <c r="AE91" s="630"/>
      <c r="AF91" s="630"/>
      <c r="AG91" s="630"/>
    </row>
    <row r="92" spans="1:33">
      <c r="A92" s="628"/>
      <c r="B92" s="628"/>
      <c r="C92" s="630"/>
      <c r="D92" s="628"/>
      <c r="E92" s="630"/>
      <c r="F92" s="629"/>
      <c r="G92" s="635"/>
      <c r="H92" s="624"/>
      <c r="I92" s="630"/>
      <c r="K92" s="633"/>
      <c r="M92" s="634"/>
      <c r="O92" s="769"/>
      <c r="Q92" s="627"/>
      <c r="R92" s="634"/>
      <c r="T92" s="624"/>
      <c r="W92" s="623"/>
      <c r="X92" s="623"/>
      <c r="Y92" s="633"/>
      <c r="Z92" s="624"/>
      <c r="AB92" s="630"/>
      <c r="AC92" s="630"/>
      <c r="AD92" s="630"/>
      <c r="AE92" s="630"/>
      <c r="AF92" s="630"/>
      <c r="AG92" s="630"/>
    </row>
    <row r="93" spans="1:33">
      <c r="A93" s="628"/>
      <c r="B93" s="628"/>
      <c r="C93" s="630"/>
      <c r="D93" s="628"/>
      <c r="E93" s="630"/>
      <c r="F93" s="629"/>
      <c r="G93" s="635"/>
      <c r="H93" s="624"/>
      <c r="I93" s="630"/>
      <c r="K93" s="633"/>
      <c r="M93" s="634"/>
      <c r="O93" s="769"/>
      <c r="Q93" s="627"/>
      <c r="R93" s="634"/>
      <c r="T93" s="624"/>
      <c r="W93" s="623"/>
      <c r="X93" s="623"/>
      <c r="Y93" s="633"/>
      <c r="Z93" s="624"/>
      <c r="AB93" s="630"/>
      <c r="AC93" s="630"/>
      <c r="AD93" s="630"/>
      <c r="AE93" s="630"/>
      <c r="AF93" s="630"/>
      <c r="AG93" s="630"/>
    </row>
    <row r="94" spans="1:33">
      <c r="A94" s="628"/>
      <c r="B94" s="628"/>
      <c r="C94" s="630"/>
      <c r="D94" s="628"/>
      <c r="E94" s="630"/>
      <c r="F94" s="629"/>
      <c r="G94" s="635"/>
      <c r="H94" s="624"/>
      <c r="I94" s="630"/>
      <c r="K94" s="633"/>
      <c r="M94" s="634"/>
      <c r="O94" s="769"/>
      <c r="Q94" s="627"/>
      <c r="R94" s="634"/>
      <c r="T94" s="624"/>
      <c r="W94" s="623"/>
      <c r="X94" s="623"/>
      <c r="Y94" s="633"/>
      <c r="Z94" s="624"/>
      <c r="AB94" s="630"/>
      <c r="AC94" s="630"/>
      <c r="AD94" s="630"/>
      <c r="AE94" s="630"/>
      <c r="AF94" s="630"/>
      <c r="AG94" s="630"/>
    </row>
    <row r="95" spans="1:33">
      <c r="A95" s="628"/>
      <c r="B95" s="628"/>
      <c r="C95" s="630"/>
      <c r="D95" s="628"/>
      <c r="E95" s="630"/>
      <c r="F95" s="629"/>
      <c r="G95" s="635"/>
      <c r="H95" s="624"/>
      <c r="I95" s="630"/>
      <c r="K95" s="633"/>
      <c r="M95" s="634"/>
      <c r="O95" s="769"/>
      <c r="Q95" s="627"/>
      <c r="R95" s="634"/>
      <c r="T95" s="624"/>
      <c r="W95" s="623"/>
      <c r="X95" s="623"/>
      <c r="Y95" s="633"/>
      <c r="Z95" s="624"/>
      <c r="AB95" s="630"/>
      <c r="AC95" s="630"/>
      <c r="AD95" s="630"/>
      <c r="AE95" s="630"/>
      <c r="AF95" s="630"/>
      <c r="AG95" s="630"/>
    </row>
    <row r="96" spans="1:33">
      <c r="A96" s="628"/>
      <c r="B96" s="628"/>
      <c r="C96" s="630"/>
      <c r="D96" s="628"/>
      <c r="E96" s="630"/>
      <c r="F96" s="629"/>
      <c r="G96" s="635"/>
      <c r="H96" s="624"/>
      <c r="I96" s="630"/>
      <c r="K96" s="633"/>
      <c r="M96" s="634"/>
      <c r="O96" s="769"/>
      <c r="Q96" s="627"/>
      <c r="R96" s="634"/>
      <c r="T96" s="624"/>
      <c r="W96" s="623"/>
      <c r="X96" s="623"/>
      <c r="Y96" s="633"/>
      <c r="Z96" s="624"/>
      <c r="AB96" s="630"/>
      <c r="AC96" s="630"/>
      <c r="AD96" s="630"/>
      <c r="AE96" s="630"/>
      <c r="AF96" s="630"/>
      <c r="AG96" s="630"/>
    </row>
    <row r="97" spans="1:33">
      <c r="A97" s="628"/>
      <c r="B97" s="628"/>
      <c r="C97" s="630"/>
      <c r="D97" s="628"/>
      <c r="E97" s="630"/>
      <c r="F97" s="629"/>
      <c r="G97" s="635"/>
      <c r="H97" s="624"/>
      <c r="I97" s="630"/>
      <c r="K97" s="633"/>
      <c r="M97" s="634"/>
      <c r="O97" s="769"/>
      <c r="Q97" s="627"/>
      <c r="R97" s="634"/>
      <c r="T97" s="624"/>
      <c r="W97" s="623"/>
      <c r="X97" s="623"/>
      <c r="Y97" s="633"/>
      <c r="Z97" s="624"/>
      <c r="AB97" s="630"/>
      <c r="AC97" s="630"/>
      <c r="AD97" s="630"/>
      <c r="AE97" s="630"/>
      <c r="AF97" s="630"/>
      <c r="AG97" s="630"/>
    </row>
    <row r="98" spans="1:33">
      <c r="A98" s="628"/>
      <c r="B98" s="628"/>
      <c r="C98" s="630"/>
      <c r="D98" s="628"/>
      <c r="E98" s="630"/>
      <c r="F98" s="629"/>
      <c r="G98" s="635"/>
      <c r="H98" s="624"/>
      <c r="I98" s="630"/>
      <c r="K98" s="633"/>
      <c r="M98" s="634"/>
      <c r="O98" s="769"/>
      <c r="Q98" s="627"/>
      <c r="R98" s="634"/>
      <c r="T98" s="624"/>
      <c r="W98" s="623"/>
      <c r="X98" s="623"/>
      <c r="Y98" s="633"/>
      <c r="Z98" s="624"/>
      <c r="AB98" s="630"/>
      <c r="AC98" s="630"/>
      <c r="AD98" s="630"/>
      <c r="AE98" s="630"/>
      <c r="AF98" s="630"/>
      <c r="AG98" s="630"/>
    </row>
    <row r="99" spans="1:33">
      <c r="A99" s="628"/>
      <c r="B99" s="628"/>
      <c r="C99" s="630"/>
      <c r="D99" s="628"/>
      <c r="E99" s="630"/>
      <c r="F99" s="629"/>
      <c r="G99" s="635"/>
      <c r="H99" s="624"/>
      <c r="I99" s="630"/>
      <c r="K99" s="633"/>
      <c r="M99" s="634"/>
      <c r="O99" s="769"/>
      <c r="Q99" s="627"/>
      <c r="R99" s="634"/>
      <c r="T99" s="624"/>
      <c r="W99" s="623"/>
      <c r="X99" s="623"/>
      <c r="Y99" s="633"/>
      <c r="Z99" s="624"/>
      <c r="AB99" s="630"/>
      <c r="AC99" s="630"/>
      <c r="AD99" s="630"/>
      <c r="AE99" s="630"/>
      <c r="AF99" s="630"/>
      <c r="AG99" s="630"/>
    </row>
    <row r="100" spans="1:33">
      <c r="A100" s="628"/>
      <c r="B100" s="628"/>
      <c r="C100" s="630"/>
      <c r="D100" s="628"/>
      <c r="E100" s="630"/>
      <c r="F100" s="629"/>
      <c r="G100" s="635"/>
      <c r="H100" s="624"/>
      <c r="I100" s="630"/>
      <c r="K100" s="633"/>
      <c r="M100" s="634"/>
      <c r="O100" s="769"/>
      <c r="Q100" s="627"/>
      <c r="R100" s="634"/>
      <c r="T100" s="624"/>
      <c r="W100" s="623"/>
      <c r="X100" s="623"/>
      <c r="Y100" s="633"/>
      <c r="Z100" s="624"/>
      <c r="AB100" s="630"/>
      <c r="AC100" s="630"/>
      <c r="AD100" s="630"/>
      <c r="AE100" s="630"/>
      <c r="AF100" s="630"/>
      <c r="AG100" s="630"/>
    </row>
    <row r="101" spans="1:33">
      <c r="A101" s="628"/>
      <c r="B101" s="628"/>
      <c r="C101" s="630"/>
      <c r="D101" s="628"/>
      <c r="E101" s="630"/>
      <c r="F101" s="629"/>
      <c r="G101" s="635"/>
      <c r="H101" s="624"/>
      <c r="I101" s="630"/>
      <c r="K101" s="633"/>
      <c r="M101" s="634"/>
      <c r="O101" s="769"/>
      <c r="Q101" s="627"/>
      <c r="R101" s="634"/>
      <c r="T101" s="624"/>
      <c r="W101" s="623"/>
      <c r="X101" s="623"/>
      <c r="Y101" s="633"/>
      <c r="Z101" s="624"/>
      <c r="AB101" s="630"/>
      <c r="AC101" s="630"/>
      <c r="AD101" s="630"/>
      <c r="AE101" s="630"/>
      <c r="AF101" s="630"/>
      <c r="AG101" s="630"/>
    </row>
    <row r="102" spans="1:33">
      <c r="A102" s="628"/>
      <c r="B102" s="628"/>
      <c r="C102" s="630"/>
      <c r="D102" s="628"/>
      <c r="E102" s="630"/>
      <c r="F102" s="629"/>
      <c r="G102" s="635"/>
      <c r="H102" s="624"/>
      <c r="I102" s="630"/>
      <c r="K102" s="633"/>
      <c r="M102" s="634"/>
      <c r="O102" s="769"/>
      <c r="Q102" s="627"/>
      <c r="R102" s="634"/>
      <c r="T102" s="624"/>
      <c r="W102" s="623"/>
      <c r="X102" s="623"/>
      <c r="Y102" s="633"/>
      <c r="Z102" s="624"/>
      <c r="AB102" s="630"/>
      <c r="AC102" s="630"/>
      <c r="AD102" s="630"/>
      <c r="AE102" s="630"/>
      <c r="AF102" s="630"/>
      <c r="AG102" s="630"/>
    </row>
    <row r="103" spans="1:33">
      <c r="A103" s="628"/>
      <c r="B103" s="628"/>
      <c r="C103" s="630"/>
      <c r="D103" s="628"/>
      <c r="E103" s="630"/>
      <c r="F103" s="629"/>
      <c r="G103" s="635"/>
      <c r="H103" s="624"/>
      <c r="I103" s="630"/>
      <c r="K103" s="633"/>
      <c r="M103" s="634"/>
      <c r="O103" s="769"/>
      <c r="Q103" s="627"/>
      <c r="R103" s="634"/>
      <c r="T103" s="624"/>
      <c r="W103" s="623"/>
      <c r="X103" s="623"/>
      <c r="Y103" s="633"/>
      <c r="Z103" s="624"/>
      <c r="AB103" s="630"/>
      <c r="AC103" s="630"/>
      <c r="AD103" s="630"/>
      <c r="AE103" s="630"/>
      <c r="AF103" s="630"/>
      <c r="AG103" s="630"/>
    </row>
    <row r="104" spans="1:33">
      <c r="A104" s="628"/>
      <c r="B104" s="628"/>
      <c r="C104" s="630"/>
      <c r="D104" s="628"/>
      <c r="E104" s="630"/>
      <c r="F104" s="629"/>
      <c r="G104" s="635"/>
      <c r="H104" s="624"/>
      <c r="I104" s="630"/>
      <c r="K104" s="633"/>
      <c r="M104" s="634"/>
      <c r="O104" s="769"/>
      <c r="Q104" s="627"/>
      <c r="R104" s="634"/>
      <c r="T104" s="624"/>
      <c r="W104" s="623"/>
      <c r="X104" s="623"/>
      <c r="Y104" s="633"/>
      <c r="Z104" s="624"/>
      <c r="AB104" s="630"/>
      <c r="AC104" s="630"/>
      <c r="AD104" s="630"/>
      <c r="AE104" s="630"/>
      <c r="AF104" s="630"/>
      <c r="AG104" s="630"/>
    </row>
    <row r="105" spans="1:33">
      <c r="A105" s="628"/>
      <c r="B105" s="628"/>
      <c r="C105" s="630"/>
      <c r="D105" s="628"/>
      <c r="E105" s="630"/>
      <c r="F105" s="629"/>
      <c r="G105" s="635"/>
      <c r="H105" s="624"/>
      <c r="I105" s="630"/>
      <c r="K105" s="633"/>
      <c r="M105" s="634"/>
      <c r="O105" s="769"/>
      <c r="Q105" s="627"/>
      <c r="R105" s="634"/>
      <c r="T105" s="624"/>
      <c r="W105" s="623"/>
      <c r="X105" s="623"/>
      <c r="Y105" s="633"/>
      <c r="Z105" s="624"/>
      <c r="AB105" s="630"/>
      <c r="AC105" s="630"/>
      <c r="AD105" s="630"/>
      <c r="AE105" s="630"/>
      <c r="AF105" s="630"/>
      <c r="AG105" s="630"/>
    </row>
    <row r="106" spans="1:33">
      <c r="A106" s="628"/>
      <c r="B106" s="628"/>
      <c r="C106" s="630"/>
      <c r="D106" s="628"/>
      <c r="E106" s="630"/>
      <c r="F106" s="629"/>
      <c r="G106" s="635"/>
      <c r="H106" s="624"/>
      <c r="I106" s="630"/>
      <c r="K106" s="633"/>
      <c r="M106" s="634"/>
      <c r="O106" s="769"/>
      <c r="Q106" s="627"/>
      <c r="R106" s="634"/>
      <c r="T106" s="624"/>
      <c r="W106" s="623"/>
      <c r="X106" s="623"/>
      <c r="Y106" s="633"/>
      <c r="Z106" s="624"/>
      <c r="AB106" s="630"/>
      <c r="AC106" s="630"/>
      <c r="AD106" s="630"/>
      <c r="AE106" s="630"/>
      <c r="AF106" s="630"/>
      <c r="AG106" s="630"/>
    </row>
    <row r="107" spans="1:33">
      <c r="A107" s="628"/>
      <c r="B107" s="628"/>
      <c r="C107" s="630"/>
      <c r="D107" s="628"/>
      <c r="E107" s="630"/>
      <c r="F107" s="629"/>
      <c r="G107" s="635"/>
      <c r="H107" s="624"/>
      <c r="I107" s="630"/>
      <c r="K107" s="633"/>
      <c r="M107" s="634"/>
      <c r="O107" s="769"/>
      <c r="Q107" s="627"/>
      <c r="R107" s="634"/>
      <c r="T107" s="624"/>
      <c r="W107" s="623"/>
      <c r="X107" s="623"/>
      <c r="Y107" s="633"/>
      <c r="Z107" s="624"/>
      <c r="AB107" s="630"/>
      <c r="AC107" s="630"/>
      <c r="AD107" s="630"/>
      <c r="AE107" s="630"/>
      <c r="AF107" s="630"/>
      <c r="AG107" s="630"/>
    </row>
    <row r="108" spans="1:33">
      <c r="A108" s="628"/>
      <c r="B108" s="628"/>
      <c r="C108" s="630"/>
      <c r="D108" s="628"/>
      <c r="E108" s="630"/>
      <c r="F108" s="629"/>
      <c r="G108" s="635"/>
      <c r="H108" s="624"/>
      <c r="I108" s="630"/>
      <c r="K108" s="633"/>
      <c r="M108" s="634"/>
      <c r="O108" s="769"/>
      <c r="Q108" s="627"/>
      <c r="R108" s="634"/>
      <c r="T108" s="624"/>
      <c r="W108" s="623"/>
      <c r="X108" s="623"/>
      <c r="Y108" s="633"/>
      <c r="Z108" s="624"/>
      <c r="AB108" s="630"/>
      <c r="AC108" s="630"/>
      <c r="AD108" s="630"/>
      <c r="AE108" s="630"/>
      <c r="AF108" s="630"/>
      <c r="AG108" s="630"/>
    </row>
    <row r="109" spans="1:33">
      <c r="A109" s="628"/>
      <c r="B109" s="628"/>
      <c r="C109" s="630"/>
      <c r="D109" s="628"/>
      <c r="E109" s="630"/>
      <c r="F109" s="629"/>
      <c r="G109" s="635"/>
      <c r="H109" s="624"/>
      <c r="I109" s="630"/>
      <c r="K109" s="633"/>
      <c r="M109" s="634"/>
      <c r="O109" s="769"/>
      <c r="Q109" s="627"/>
      <c r="R109" s="634"/>
      <c r="T109" s="624"/>
      <c r="W109" s="623"/>
      <c r="X109" s="623"/>
      <c r="Y109" s="633"/>
      <c r="Z109" s="624"/>
      <c r="AB109" s="630"/>
      <c r="AC109" s="630"/>
      <c r="AD109" s="630"/>
      <c r="AE109" s="630"/>
      <c r="AF109" s="630"/>
      <c r="AG109" s="630"/>
    </row>
    <row r="110" spans="1:33">
      <c r="A110" s="628"/>
      <c r="B110" s="628"/>
      <c r="C110" s="630"/>
      <c r="D110" s="628"/>
      <c r="E110" s="630"/>
      <c r="F110" s="629"/>
      <c r="G110" s="635"/>
      <c r="H110" s="624"/>
      <c r="I110" s="630"/>
      <c r="K110" s="633"/>
      <c r="M110" s="634"/>
      <c r="O110" s="769"/>
      <c r="Q110" s="627"/>
      <c r="R110" s="634"/>
      <c r="T110" s="624"/>
      <c r="W110" s="623"/>
      <c r="X110" s="623"/>
      <c r="Y110" s="633"/>
      <c r="Z110" s="624"/>
      <c r="AB110" s="630"/>
      <c r="AC110" s="630"/>
      <c r="AD110" s="630"/>
      <c r="AE110" s="630"/>
      <c r="AF110" s="630"/>
      <c r="AG110" s="630"/>
    </row>
    <row r="111" spans="1:33">
      <c r="A111" s="628"/>
      <c r="B111" s="628"/>
      <c r="C111" s="630"/>
      <c r="D111" s="628"/>
      <c r="E111" s="630"/>
      <c r="F111" s="629"/>
      <c r="G111" s="635"/>
      <c r="H111" s="624"/>
      <c r="I111" s="630"/>
      <c r="K111" s="633"/>
      <c r="M111" s="634"/>
      <c r="O111" s="769"/>
      <c r="Q111" s="627"/>
      <c r="R111" s="634"/>
      <c r="T111" s="624"/>
      <c r="W111" s="623"/>
      <c r="X111" s="623"/>
      <c r="Y111" s="633"/>
      <c r="Z111" s="624"/>
      <c r="AB111" s="630"/>
      <c r="AC111" s="630"/>
      <c r="AD111" s="630"/>
      <c r="AE111" s="630"/>
      <c r="AF111" s="630"/>
      <c r="AG111" s="630"/>
    </row>
    <row r="112" spans="1:33">
      <c r="A112" s="628"/>
      <c r="B112" s="628"/>
      <c r="C112" s="630"/>
      <c r="D112" s="628"/>
      <c r="E112" s="630"/>
      <c r="F112" s="629"/>
      <c r="G112" s="635"/>
      <c r="H112" s="624"/>
      <c r="I112" s="630"/>
      <c r="K112" s="633"/>
      <c r="M112" s="634"/>
      <c r="O112" s="769"/>
      <c r="Q112" s="627"/>
      <c r="R112" s="634"/>
      <c r="T112" s="624"/>
      <c r="W112" s="623"/>
      <c r="X112" s="623"/>
      <c r="Y112" s="633"/>
      <c r="Z112" s="624"/>
      <c r="AB112" s="630"/>
      <c r="AC112" s="630"/>
      <c r="AD112" s="630"/>
      <c r="AE112" s="630"/>
      <c r="AF112" s="630"/>
      <c r="AG112" s="630"/>
    </row>
    <row r="113" spans="1:33">
      <c r="A113" s="628"/>
      <c r="B113" s="628"/>
      <c r="C113" s="630"/>
      <c r="D113" s="628"/>
      <c r="E113" s="630"/>
      <c r="F113" s="629"/>
      <c r="G113" s="635"/>
      <c r="H113" s="624"/>
      <c r="I113" s="630"/>
      <c r="K113" s="633"/>
      <c r="M113" s="634"/>
      <c r="O113" s="769"/>
      <c r="Q113" s="627"/>
      <c r="R113" s="634"/>
      <c r="T113" s="624"/>
      <c r="W113" s="623"/>
      <c r="X113" s="623"/>
      <c r="Y113" s="633"/>
      <c r="Z113" s="624"/>
      <c r="AB113" s="630"/>
      <c r="AC113" s="630"/>
      <c r="AD113" s="630"/>
      <c r="AE113" s="630"/>
      <c r="AF113" s="630"/>
      <c r="AG113" s="630"/>
    </row>
    <row r="114" spans="1:33">
      <c r="A114" s="628"/>
      <c r="B114" s="628"/>
      <c r="C114" s="630"/>
      <c r="D114" s="628"/>
      <c r="E114" s="630"/>
      <c r="F114" s="629"/>
      <c r="G114" s="635"/>
      <c r="H114" s="624"/>
      <c r="I114" s="630"/>
      <c r="K114" s="633"/>
      <c r="M114" s="634"/>
      <c r="O114" s="769"/>
      <c r="Q114" s="627"/>
      <c r="R114" s="634"/>
      <c r="T114" s="624"/>
      <c r="W114" s="623"/>
      <c r="X114" s="623"/>
      <c r="Y114" s="633"/>
      <c r="Z114" s="624"/>
      <c r="AB114" s="630"/>
      <c r="AC114" s="630"/>
      <c r="AD114" s="630"/>
      <c r="AE114" s="630"/>
      <c r="AF114" s="630"/>
      <c r="AG114" s="630"/>
    </row>
    <row r="115" spans="1:33">
      <c r="A115" s="628"/>
      <c r="B115" s="628"/>
      <c r="C115" s="630"/>
      <c r="D115" s="628"/>
      <c r="E115" s="630"/>
      <c r="F115" s="629"/>
      <c r="G115" s="635"/>
      <c r="H115" s="624"/>
      <c r="I115" s="630"/>
      <c r="K115" s="633"/>
      <c r="M115" s="634"/>
      <c r="O115" s="769"/>
      <c r="Q115" s="627"/>
      <c r="R115" s="634"/>
      <c r="T115" s="624"/>
      <c r="W115" s="623"/>
      <c r="X115" s="623"/>
      <c r="Y115" s="633"/>
      <c r="Z115" s="624"/>
      <c r="AB115" s="630"/>
      <c r="AC115" s="630"/>
      <c r="AD115" s="630"/>
      <c r="AE115" s="630"/>
      <c r="AF115" s="630"/>
      <c r="AG115" s="630"/>
    </row>
    <row r="116" spans="1:33">
      <c r="A116" s="628"/>
      <c r="B116" s="628"/>
      <c r="C116" s="630"/>
      <c r="D116" s="628"/>
      <c r="E116" s="630"/>
      <c r="F116" s="629"/>
      <c r="G116" s="635"/>
      <c r="H116" s="624"/>
      <c r="I116" s="630"/>
      <c r="K116" s="633"/>
      <c r="M116" s="634"/>
      <c r="O116" s="769"/>
      <c r="Q116" s="627"/>
      <c r="R116" s="634"/>
      <c r="T116" s="624"/>
      <c r="W116" s="623"/>
      <c r="X116" s="623"/>
      <c r="Y116" s="633"/>
      <c r="Z116" s="624"/>
      <c r="AB116" s="630"/>
      <c r="AC116" s="630"/>
      <c r="AD116" s="630"/>
      <c r="AE116" s="630"/>
      <c r="AF116" s="630"/>
      <c r="AG116" s="630"/>
    </row>
    <row r="117" spans="1:33">
      <c r="A117" s="628"/>
      <c r="B117" s="628"/>
      <c r="C117" s="630"/>
      <c r="D117" s="628"/>
      <c r="E117" s="630"/>
      <c r="F117" s="629"/>
      <c r="G117" s="635"/>
      <c r="H117" s="624"/>
      <c r="I117" s="630"/>
      <c r="K117" s="633"/>
      <c r="M117" s="634"/>
      <c r="O117" s="769"/>
      <c r="Q117" s="627"/>
      <c r="R117" s="634"/>
      <c r="T117" s="624"/>
      <c r="W117" s="623"/>
      <c r="X117" s="623"/>
      <c r="Y117" s="633"/>
      <c r="Z117" s="624"/>
      <c r="AB117" s="630"/>
      <c r="AC117" s="630"/>
      <c r="AD117" s="630"/>
      <c r="AE117" s="630"/>
      <c r="AF117" s="630"/>
      <c r="AG117" s="630"/>
    </row>
    <row r="118" spans="1:33">
      <c r="A118" s="628"/>
      <c r="B118" s="628"/>
      <c r="C118" s="630"/>
      <c r="D118" s="628"/>
      <c r="E118" s="630"/>
      <c r="F118" s="629"/>
      <c r="G118" s="635"/>
      <c r="H118" s="624"/>
      <c r="I118" s="630"/>
      <c r="K118" s="633"/>
      <c r="M118" s="634"/>
      <c r="O118" s="769"/>
      <c r="Q118" s="627"/>
      <c r="R118" s="634"/>
      <c r="T118" s="624"/>
      <c r="W118" s="623"/>
      <c r="X118" s="623"/>
      <c r="Y118" s="633"/>
      <c r="Z118" s="624"/>
      <c r="AB118" s="630"/>
      <c r="AC118" s="630"/>
      <c r="AD118" s="630"/>
      <c r="AE118" s="630"/>
      <c r="AF118" s="630"/>
      <c r="AG118" s="630"/>
    </row>
    <row r="119" spans="1:33">
      <c r="A119" s="628"/>
      <c r="B119" s="628"/>
      <c r="C119" s="630"/>
      <c r="D119" s="628"/>
      <c r="E119" s="630"/>
      <c r="F119" s="629"/>
      <c r="G119" s="635"/>
      <c r="H119" s="624"/>
      <c r="I119" s="630"/>
      <c r="K119" s="633"/>
      <c r="M119" s="634"/>
      <c r="O119" s="769"/>
      <c r="Q119" s="627"/>
      <c r="R119" s="634"/>
      <c r="T119" s="624"/>
      <c r="W119" s="623"/>
      <c r="X119" s="623"/>
      <c r="Y119" s="633"/>
      <c r="Z119" s="624"/>
      <c r="AB119" s="630"/>
      <c r="AC119" s="630"/>
      <c r="AD119" s="630"/>
      <c r="AE119" s="630"/>
      <c r="AF119" s="630"/>
      <c r="AG119" s="630"/>
    </row>
    <row r="120" spans="1:33">
      <c r="A120" s="628"/>
      <c r="B120" s="628"/>
      <c r="C120" s="630"/>
      <c r="D120" s="628"/>
      <c r="E120" s="630"/>
      <c r="F120" s="629"/>
      <c r="G120" s="635"/>
      <c r="H120" s="624"/>
      <c r="I120" s="630"/>
      <c r="K120" s="633"/>
      <c r="M120" s="634"/>
      <c r="O120" s="769"/>
      <c r="Q120" s="627"/>
      <c r="R120" s="634"/>
      <c r="T120" s="624"/>
      <c r="W120" s="623"/>
      <c r="X120" s="623"/>
      <c r="Y120" s="633"/>
      <c r="Z120" s="624"/>
      <c r="AB120" s="630"/>
      <c r="AC120" s="630"/>
      <c r="AD120" s="630"/>
      <c r="AE120" s="630"/>
      <c r="AF120" s="630"/>
      <c r="AG120" s="630"/>
    </row>
    <row r="121" spans="1:33">
      <c r="A121" s="628"/>
      <c r="B121" s="628"/>
      <c r="C121" s="630"/>
      <c r="D121" s="628"/>
      <c r="E121" s="630"/>
      <c r="F121" s="629"/>
      <c r="G121" s="635"/>
      <c r="H121" s="624"/>
      <c r="I121" s="630"/>
      <c r="K121" s="633"/>
      <c r="M121" s="634"/>
      <c r="O121" s="769"/>
      <c r="Q121" s="627"/>
      <c r="R121" s="634"/>
      <c r="T121" s="624"/>
      <c r="W121" s="623"/>
      <c r="X121" s="623"/>
      <c r="Y121" s="633"/>
      <c r="Z121" s="624"/>
      <c r="AB121" s="630"/>
      <c r="AC121" s="630"/>
      <c r="AD121" s="630"/>
      <c r="AE121" s="630"/>
      <c r="AF121" s="630"/>
      <c r="AG121" s="630"/>
    </row>
    <row r="122" spans="1:33">
      <c r="A122" s="628"/>
      <c r="B122" s="628"/>
      <c r="C122" s="630"/>
      <c r="D122" s="628"/>
      <c r="E122" s="630"/>
      <c r="F122" s="629"/>
      <c r="G122" s="635"/>
      <c r="H122" s="624"/>
      <c r="I122" s="630"/>
      <c r="K122" s="633"/>
      <c r="M122" s="634"/>
      <c r="O122" s="769"/>
      <c r="Q122" s="627"/>
      <c r="R122" s="634"/>
      <c r="T122" s="624"/>
      <c r="W122" s="623"/>
      <c r="X122" s="623"/>
      <c r="Y122" s="633"/>
      <c r="Z122" s="624"/>
      <c r="AB122" s="630"/>
      <c r="AC122" s="630"/>
      <c r="AD122" s="630"/>
      <c r="AE122" s="630"/>
      <c r="AF122" s="630"/>
      <c r="AG122" s="630"/>
    </row>
    <row r="123" spans="1:33">
      <c r="A123" s="628"/>
      <c r="B123" s="628"/>
      <c r="C123" s="630"/>
      <c r="D123" s="628"/>
      <c r="E123" s="630"/>
      <c r="F123" s="629"/>
      <c r="G123" s="635"/>
      <c r="H123" s="624"/>
      <c r="I123" s="630"/>
      <c r="K123" s="633"/>
      <c r="M123" s="634"/>
      <c r="O123" s="769"/>
      <c r="Q123" s="627"/>
      <c r="R123" s="634"/>
      <c r="T123" s="624"/>
      <c r="W123" s="623"/>
      <c r="X123" s="623"/>
      <c r="Y123" s="633"/>
      <c r="Z123" s="624"/>
      <c r="AB123" s="630"/>
      <c r="AC123" s="630"/>
      <c r="AD123" s="630"/>
      <c r="AE123" s="630"/>
      <c r="AF123" s="630"/>
      <c r="AG123" s="630"/>
    </row>
    <row r="124" spans="1:33">
      <c r="A124" s="628"/>
      <c r="B124" s="628"/>
      <c r="C124" s="630"/>
      <c r="D124" s="628"/>
      <c r="E124" s="630"/>
      <c r="F124" s="629"/>
      <c r="G124" s="635"/>
      <c r="H124" s="624"/>
      <c r="I124" s="630"/>
      <c r="K124" s="633"/>
      <c r="M124" s="634"/>
      <c r="O124" s="769"/>
      <c r="Q124" s="627"/>
      <c r="R124" s="634"/>
      <c r="T124" s="624"/>
      <c r="W124" s="623"/>
      <c r="X124" s="623"/>
      <c r="Y124" s="633"/>
      <c r="Z124" s="624"/>
      <c r="AB124" s="630"/>
      <c r="AC124" s="630"/>
      <c r="AD124" s="630"/>
      <c r="AE124" s="630"/>
      <c r="AF124" s="630"/>
      <c r="AG124" s="630"/>
    </row>
    <row r="125" spans="1:33">
      <c r="A125" s="628"/>
      <c r="B125" s="628"/>
      <c r="C125" s="630"/>
      <c r="D125" s="628"/>
      <c r="E125" s="630"/>
      <c r="F125" s="629"/>
      <c r="G125" s="635"/>
      <c r="H125" s="624"/>
      <c r="I125" s="630"/>
      <c r="K125" s="633"/>
      <c r="M125" s="634"/>
      <c r="O125" s="769"/>
      <c r="Q125" s="627"/>
      <c r="R125" s="634"/>
      <c r="T125" s="624"/>
      <c r="W125" s="623"/>
      <c r="X125" s="623"/>
      <c r="Y125" s="633"/>
      <c r="Z125" s="624"/>
      <c r="AB125" s="630"/>
      <c r="AC125" s="630"/>
      <c r="AD125" s="630"/>
      <c r="AE125" s="630"/>
      <c r="AF125" s="630"/>
      <c r="AG125" s="630"/>
    </row>
    <row r="126" spans="1:33">
      <c r="A126" s="628"/>
      <c r="B126" s="628"/>
      <c r="C126" s="630"/>
      <c r="D126" s="628"/>
      <c r="E126" s="630"/>
      <c r="F126" s="629"/>
      <c r="G126" s="635"/>
      <c r="H126" s="624"/>
      <c r="I126" s="630"/>
      <c r="K126" s="633"/>
      <c r="M126" s="634"/>
      <c r="O126" s="769"/>
      <c r="Q126" s="627"/>
      <c r="R126" s="634"/>
      <c r="T126" s="624"/>
      <c r="W126" s="623"/>
      <c r="X126" s="623"/>
      <c r="Y126" s="633"/>
      <c r="Z126" s="624"/>
      <c r="AB126" s="630"/>
      <c r="AC126" s="630"/>
      <c r="AD126" s="630"/>
      <c r="AE126" s="630"/>
      <c r="AF126" s="630"/>
      <c r="AG126" s="630"/>
    </row>
    <row r="127" spans="1:33">
      <c r="A127" s="628"/>
      <c r="B127" s="628"/>
      <c r="C127" s="630"/>
      <c r="D127" s="628"/>
      <c r="E127" s="630"/>
      <c r="F127" s="629"/>
      <c r="G127" s="635"/>
      <c r="H127" s="624"/>
      <c r="I127" s="630"/>
      <c r="K127" s="633"/>
      <c r="M127" s="634"/>
      <c r="O127" s="769"/>
      <c r="Q127" s="627"/>
      <c r="R127" s="634"/>
      <c r="T127" s="624"/>
      <c r="W127" s="623"/>
      <c r="X127" s="623"/>
      <c r="Y127" s="633"/>
      <c r="Z127" s="624"/>
      <c r="AB127" s="630"/>
      <c r="AC127" s="630"/>
      <c r="AD127" s="630"/>
      <c r="AE127" s="630"/>
      <c r="AF127" s="630"/>
      <c r="AG127" s="630"/>
    </row>
    <row r="128" spans="1:33">
      <c r="A128" s="628"/>
      <c r="B128" s="628"/>
      <c r="C128" s="630"/>
      <c r="D128" s="628"/>
      <c r="E128" s="630"/>
      <c r="F128" s="629"/>
      <c r="G128" s="635"/>
      <c r="H128" s="624"/>
      <c r="I128" s="630"/>
      <c r="K128" s="633"/>
      <c r="M128" s="634"/>
      <c r="O128" s="769"/>
      <c r="Q128" s="627"/>
      <c r="R128" s="634"/>
      <c r="T128" s="624"/>
      <c r="W128" s="623"/>
      <c r="X128" s="623"/>
      <c r="Y128" s="633"/>
      <c r="Z128" s="624"/>
      <c r="AB128" s="630"/>
      <c r="AC128" s="630"/>
      <c r="AD128" s="630"/>
      <c r="AE128" s="630"/>
      <c r="AF128" s="630"/>
      <c r="AG128" s="630"/>
    </row>
    <row r="129" spans="1:33">
      <c r="A129" s="628"/>
      <c r="B129" s="628"/>
      <c r="C129" s="630"/>
      <c r="D129" s="628"/>
      <c r="E129" s="630"/>
      <c r="F129" s="629"/>
      <c r="G129" s="635"/>
      <c r="H129" s="624"/>
      <c r="I129" s="630"/>
      <c r="K129" s="633"/>
      <c r="M129" s="634"/>
      <c r="O129" s="769"/>
      <c r="Q129" s="627"/>
      <c r="R129" s="634"/>
      <c r="T129" s="624"/>
      <c r="W129" s="623"/>
      <c r="X129" s="623"/>
      <c r="Y129" s="633"/>
      <c r="Z129" s="624"/>
      <c r="AB129" s="630"/>
      <c r="AC129" s="630"/>
      <c r="AD129" s="630"/>
      <c r="AE129" s="630"/>
      <c r="AF129" s="630"/>
      <c r="AG129" s="630"/>
    </row>
    <row r="130" spans="1:33">
      <c r="A130" s="628"/>
      <c r="B130" s="628"/>
      <c r="C130" s="630"/>
      <c r="D130" s="628"/>
      <c r="E130" s="630"/>
      <c r="F130" s="629"/>
      <c r="G130" s="635"/>
      <c r="H130" s="624"/>
      <c r="I130" s="630"/>
      <c r="K130" s="633"/>
      <c r="M130" s="634"/>
      <c r="O130" s="769"/>
      <c r="Q130" s="627"/>
      <c r="R130" s="634"/>
      <c r="T130" s="624"/>
      <c r="W130" s="623"/>
      <c r="X130" s="623"/>
      <c r="Y130" s="633"/>
      <c r="Z130" s="624"/>
      <c r="AB130" s="630"/>
      <c r="AC130" s="630"/>
      <c r="AD130" s="630"/>
      <c r="AE130" s="630"/>
      <c r="AF130" s="630"/>
      <c r="AG130" s="630"/>
    </row>
    <row r="131" spans="1:33">
      <c r="A131" s="628"/>
      <c r="B131" s="628"/>
      <c r="C131" s="630"/>
      <c r="D131" s="628"/>
      <c r="E131" s="630"/>
      <c r="F131" s="629"/>
      <c r="G131" s="635"/>
      <c r="H131" s="624"/>
      <c r="I131" s="630"/>
      <c r="K131" s="633"/>
      <c r="M131" s="634"/>
      <c r="O131" s="769"/>
      <c r="Q131" s="627"/>
      <c r="R131" s="634"/>
      <c r="T131" s="624"/>
      <c r="W131" s="623"/>
      <c r="X131" s="623"/>
      <c r="Y131" s="633"/>
      <c r="Z131" s="624"/>
      <c r="AB131" s="630"/>
      <c r="AC131" s="630"/>
      <c r="AD131" s="630"/>
      <c r="AE131" s="630"/>
      <c r="AF131" s="630"/>
      <c r="AG131" s="630"/>
    </row>
    <row r="132" spans="1:33">
      <c r="A132" s="628"/>
      <c r="B132" s="628"/>
      <c r="C132" s="630"/>
      <c r="D132" s="628"/>
      <c r="E132" s="630"/>
      <c r="F132" s="629"/>
      <c r="G132" s="635"/>
      <c r="H132" s="624"/>
      <c r="I132" s="630"/>
      <c r="K132" s="633"/>
      <c r="M132" s="634"/>
      <c r="O132" s="769"/>
      <c r="Q132" s="627"/>
      <c r="R132" s="634"/>
      <c r="T132" s="624"/>
      <c r="W132" s="623"/>
      <c r="X132" s="623"/>
      <c r="Y132" s="633"/>
      <c r="Z132" s="624"/>
      <c r="AB132" s="630"/>
      <c r="AC132" s="630"/>
      <c r="AD132" s="630"/>
      <c r="AE132" s="630"/>
      <c r="AF132" s="630"/>
      <c r="AG132" s="630"/>
    </row>
    <row r="133" spans="1:33">
      <c r="A133" s="628"/>
      <c r="B133" s="628"/>
      <c r="C133" s="630"/>
      <c r="D133" s="628"/>
      <c r="E133" s="630"/>
      <c r="F133" s="629"/>
      <c r="G133" s="635"/>
      <c r="H133" s="624"/>
      <c r="I133" s="630"/>
      <c r="K133" s="633"/>
      <c r="M133" s="634"/>
      <c r="O133" s="769"/>
      <c r="Q133" s="627"/>
      <c r="R133" s="634"/>
      <c r="T133" s="624"/>
      <c r="W133" s="623"/>
      <c r="X133" s="623"/>
      <c r="Y133" s="633"/>
      <c r="Z133" s="624"/>
      <c r="AB133" s="630"/>
      <c r="AC133" s="630"/>
      <c r="AD133" s="630"/>
      <c r="AE133" s="630"/>
      <c r="AF133" s="630"/>
      <c r="AG133" s="630"/>
    </row>
    <row r="134" spans="1:33">
      <c r="A134" s="628"/>
      <c r="B134" s="628"/>
      <c r="C134" s="630"/>
      <c r="D134" s="628"/>
      <c r="E134" s="630"/>
      <c r="F134" s="629"/>
      <c r="G134" s="635"/>
      <c r="H134" s="624"/>
      <c r="I134" s="630"/>
      <c r="K134" s="633"/>
      <c r="M134" s="634"/>
      <c r="O134" s="769"/>
      <c r="Q134" s="627"/>
      <c r="R134" s="634"/>
      <c r="T134" s="624"/>
      <c r="W134" s="623"/>
      <c r="X134" s="623"/>
      <c r="Y134" s="633"/>
      <c r="Z134" s="624"/>
      <c r="AB134" s="630"/>
      <c r="AC134" s="630"/>
      <c r="AD134" s="630"/>
      <c r="AE134" s="630"/>
      <c r="AF134" s="630"/>
      <c r="AG134" s="630"/>
    </row>
    <row r="135" spans="1:33">
      <c r="A135" s="628"/>
      <c r="B135" s="628"/>
      <c r="C135" s="630"/>
      <c r="D135" s="628"/>
      <c r="E135" s="630"/>
      <c r="F135" s="629"/>
      <c r="G135" s="635"/>
      <c r="H135" s="624"/>
      <c r="I135" s="630"/>
      <c r="K135" s="633"/>
      <c r="M135" s="634"/>
      <c r="O135" s="769"/>
      <c r="Q135" s="627"/>
      <c r="R135" s="634"/>
      <c r="T135" s="624"/>
      <c r="W135" s="623"/>
      <c r="X135" s="623"/>
      <c r="Y135" s="633"/>
      <c r="Z135" s="624"/>
      <c r="AB135" s="630"/>
      <c r="AC135" s="630"/>
      <c r="AD135" s="630"/>
      <c r="AE135" s="630"/>
      <c r="AF135" s="630"/>
      <c r="AG135" s="630"/>
    </row>
    <row r="136" spans="1:33">
      <c r="A136" s="628"/>
      <c r="B136" s="628"/>
      <c r="C136" s="630"/>
      <c r="D136" s="628"/>
      <c r="E136" s="630"/>
      <c r="F136" s="629"/>
      <c r="G136" s="635"/>
      <c r="H136" s="624"/>
      <c r="I136" s="630"/>
      <c r="K136" s="633"/>
      <c r="M136" s="634"/>
      <c r="O136" s="769"/>
      <c r="Q136" s="627"/>
      <c r="R136" s="634"/>
      <c r="T136" s="624"/>
      <c r="W136" s="623"/>
      <c r="X136" s="623"/>
      <c r="Y136" s="633"/>
      <c r="Z136" s="624"/>
      <c r="AB136" s="630"/>
      <c r="AC136" s="630"/>
      <c r="AD136" s="630"/>
      <c r="AE136" s="630"/>
      <c r="AF136" s="630"/>
      <c r="AG136" s="630"/>
    </row>
    <row r="137" spans="1:33">
      <c r="A137" s="628"/>
      <c r="B137" s="628"/>
      <c r="C137" s="630"/>
      <c r="D137" s="628"/>
      <c r="E137" s="630"/>
      <c r="F137" s="629"/>
      <c r="G137" s="635"/>
      <c r="H137" s="624"/>
      <c r="I137" s="630"/>
      <c r="K137" s="633"/>
      <c r="M137" s="634"/>
      <c r="O137" s="769"/>
      <c r="Q137" s="627"/>
      <c r="R137" s="634"/>
      <c r="T137" s="624"/>
      <c r="W137" s="623"/>
      <c r="X137" s="623"/>
      <c r="Y137" s="633"/>
      <c r="Z137" s="624"/>
      <c r="AB137" s="630"/>
      <c r="AC137" s="630"/>
      <c r="AD137" s="630"/>
      <c r="AE137" s="630"/>
      <c r="AF137" s="630"/>
      <c r="AG137" s="630"/>
    </row>
    <row r="138" spans="1:33">
      <c r="A138" s="628"/>
      <c r="B138" s="628"/>
      <c r="C138" s="630"/>
      <c r="D138" s="628"/>
      <c r="E138" s="630"/>
      <c r="F138" s="629"/>
      <c r="G138" s="635"/>
      <c r="H138" s="624"/>
      <c r="I138" s="630"/>
      <c r="K138" s="633"/>
      <c r="M138" s="634"/>
      <c r="O138" s="769"/>
      <c r="Q138" s="627"/>
      <c r="R138" s="634"/>
      <c r="T138" s="624"/>
      <c r="W138" s="623"/>
      <c r="X138" s="623"/>
      <c r="Y138" s="633"/>
      <c r="Z138" s="624"/>
      <c r="AB138" s="630"/>
      <c r="AC138" s="630"/>
      <c r="AD138" s="630"/>
      <c r="AE138" s="630"/>
      <c r="AF138" s="630"/>
      <c r="AG138" s="630"/>
    </row>
    <row r="139" spans="1:33">
      <c r="A139" s="628"/>
      <c r="B139" s="628"/>
      <c r="C139" s="630"/>
      <c r="D139" s="628"/>
      <c r="E139" s="630"/>
      <c r="F139" s="629"/>
      <c r="G139" s="635"/>
      <c r="H139" s="624"/>
      <c r="I139" s="630"/>
      <c r="K139" s="633"/>
      <c r="M139" s="634"/>
      <c r="O139" s="769"/>
      <c r="Q139" s="627"/>
      <c r="R139" s="634"/>
      <c r="T139" s="624"/>
      <c r="W139" s="623"/>
      <c r="X139" s="623"/>
      <c r="Y139" s="633"/>
      <c r="Z139" s="624"/>
      <c r="AB139" s="630"/>
      <c r="AC139" s="630"/>
      <c r="AD139" s="630"/>
      <c r="AE139" s="630"/>
      <c r="AF139" s="630"/>
      <c r="AG139" s="630"/>
    </row>
    <row r="140" spans="1:33">
      <c r="A140" s="628"/>
      <c r="B140" s="628"/>
      <c r="C140" s="630"/>
      <c r="D140" s="628"/>
      <c r="E140" s="630"/>
      <c r="F140" s="629"/>
      <c r="G140" s="635"/>
      <c r="H140" s="624"/>
      <c r="I140" s="630"/>
      <c r="K140" s="633"/>
      <c r="M140" s="634"/>
      <c r="O140" s="769"/>
      <c r="Q140" s="627"/>
      <c r="R140" s="634"/>
      <c r="T140" s="624"/>
      <c r="W140" s="623"/>
      <c r="X140" s="623"/>
      <c r="Y140" s="633"/>
      <c r="Z140" s="624"/>
      <c r="AB140" s="630"/>
      <c r="AC140" s="630"/>
      <c r="AD140" s="630"/>
      <c r="AE140" s="630"/>
      <c r="AF140" s="630"/>
      <c r="AG140" s="630"/>
    </row>
    <row r="141" spans="1:33">
      <c r="A141" s="628"/>
      <c r="B141" s="628"/>
      <c r="C141" s="630"/>
      <c r="D141" s="628"/>
      <c r="E141" s="630"/>
      <c r="F141" s="629"/>
      <c r="G141" s="635"/>
      <c r="H141" s="624"/>
      <c r="I141" s="630"/>
      <c r="K141" s="633"/>
      <c r="M141" s="634"/>
      <c r="O141" s="769"/>
      <c r="Q141" s="627"/>
      <c r="R141" s="634"/>
      <c r="T141" s="624"/>
      <c r="W141" s="623"/>
      <c r="X141" s="623"/>
      <c r="Y141" s="633"/>
      <c r="Z141" s="624"/>
      <c r="AB141" s="630"/>
      <c r="AC141" s="630"/>
      <c r="AD141" s="630"/>
      <c r="AE141" s="630"/>
      <c r="AF141" s="630"/>
      <c r="AG141" s="630"/>
    </row>
    <row r="142" spans="1:33">
      <c r="A142" s="628"/>
      <c r="B142" s="628"/>
      <c r="C142" s="630"/>
      <c r="D142" s="628"/>
      <c r="E142" s="630"/>
      <c r="F142" s="629"/>
      <c r="G142" s="635"/>
      <c r="H142" s="624"/>
      <c r="I142" s="630"/>
      <c r="K142" s="633"/>
      <c r="M142" s="634"/>
      <c r="O142" s="769"/>
      <c r="Q142" s="627"/>
      <c r="R142" s="634"/>
      <c r="T142" s="624"/>
      <c r="W142" s="623"/>
      <c r="X142" s="623"/>
      <c r="Y142" s="633"/>
      <c r="Z142" s="624"/>
      <c r="AB142" s="630"/>
      <c r="AC142" s="630"/>
      <c r="AD142" s="630"/>
      <c r="AE142" s="630"/>
      <c r="AF142" s="630"/>
      <c r="AG142" s="630"/>
    </row>
    <row r="143" spans="1:33">
      <c r="A143" s="628"/>
      <c r="B143" s="628"/>
      <c r="C143" s="630"/>
      <c r="D143" s="628"/>
      <c r="E143" s="630"/>
      <c r="F143" s="629"/>
      <c r="G143" s="635"/>
      <c r="H143" s="624"/>
      <c r="I143" s="630"/>
      <c r="K143" s="633"/>
      <c r="M143" s="634"/>
      <c r="O143" s="769"/>
      <c r="Q143" s="627"/>
      <c r="R143" s="634"/>
      <c r="T143" s="624"/>
      <c r="W143" s="623"/>
      <c r="X143" s="623"/>
      <c r="Y143" s="633"/>
      <c r="Z143" s="624"/>
      <c r="AB143" s="630"/>
      <c r="AC143" s="630"/>
      <c r="AD143" s="630"/>
      <c r="AE143" s="630"/>
      <c r="AF143" s="630"/>
      <c r="AG143" s="630"/>
    </row>
    <row r="144" spans="1:33">
      <c r="A144" s="628"/>
      <c r="B144" s="628"/>
      <c r="C144" s="630"/>
      <c r="D144" s="628"/>
      <c r="E144" s="630"/>
      <c r="F144" s="629"/>
      <c r="G144" s="635"/>
      <c r="H144" s="624"/>
      <c r="I144" s="630"/>
      <c r="K144" s="633"/>
      <c r="M144" s="634"/>
      <c r="O144" s="769"/>
      <c r="Q144" s="627"/>
      <c r="R144" s="634"/>
      <c r="T144" s="624"/>
      <c r="W144" s="623"/>
      <c r="X144" s="623"/>
      <c r="Y144" s="633"/>
      <c r="Z144" s="624"/>
      <c r="AB144" s="630"/>
      <c r="AC144" s="630"/>
      <c r="AD144" s="630"/>
      <c r="AE144" s="630"/>
      <c r="AF144" s="630"/>
      <c r="AG144" s="630"/>
    </row>
    <row r="145" spans="1:33">
      <c r="A145" s="628"/>
      <c r="B145" s="628"/>
      <c r="C145" s="630"/>
      <c r="D145" s="628"/>
      <c r="E145" s="630"/>
      <c r="F145" s="629"/>
      <c r="G145" s="635"/>
      <c r="H145" s="624"/>
      <c r="I145" s="630"/>
      <c r="K145" s="633"/>
      <c r="M145" s="634"/>
      <c r="O145" s="769"/>
      <c r="Q145" s="627"/>
      <c r="R145" s="634"/>
      <c r="T145" s="624"/>
      <c r="W145" s="623"/>
      <c r="X145" s="623"/>
      <c r="Y145" s="633"/>
      <c r="Z145" s="624"/>
      <c r="AB145" s="630"/>
      <c r="AC145" s="630"/>
      <c r="AD145" s="630"/>
      <c r="AE145" s="630"/>
      <c r="AF145" s="630"/>
      <c r="AG145" s="630"/>
    </row>
    <row r="146" spans="1:33">
      <c r="A146" s="628"/>
      <c r="B146" s="628"/>
      <c r="C146" s="630"/>
      <c r="D146" s="628"/>
      <c r="E146" s="630"/>
      <c r="F146" s="629"/>
      <c r="G146" s="635"/>
      <c r="H146" s="624"/>
      <c r="I146" s="630"/>
      <c r="K146" s="633"/>
      <c r="M146" s="634"/>
      <c r="O146" s="769"/>
      <c r="Q146" s="627"/>
      <c r="R146" s="634"/>
      <c r="T146" s="624"/>
      <c r="W146" s="623"/>
      <c r="X146" s="623"/>
      <c r="Y146" s="633"/>
      <c r="Z146" s="624"/>
      <c r="AB146" s="630"/>
      <c r="AC146" s="630"/>
      <c r="AD146" s="630"/>
      <c r="AE146" s="630"/>
      <c r="AF146" s="630"/>
      <c r="AG146" s="630"/>
    </row>
    <row r="147" spans="1:33">
      <c r="A147" s="628"/>
      <c r="B147" s="628"/>
      <c r="C147" s="630"/>
      <c r="D147" s="628"/>
      <c r="E147" s="630"/>
      <c r="F147" s="629"/>
      <c r="G147" s="635"/>
      <c r="H147" s="624"/>
      <c r="I147" s="630"/>
      <c r="K147" s="633"/>
      <c r="M147" s="634"/>
      <c r="O147" s="769"/>
      <c r="Q147" s="627"/>
      <c r="R147" s="634"/>
      <c r="T147" s="624"/>
      <c r="W147" s="623"/>
      <c r="X147" s="623"/>
      <c r="Y147" s="633"/>
      <c r="Z147" s="624"/>
      <c r="AB147" s="630"/>
      <c r="AC147" s="630"/>
      <c r="AD147" s="630"/>
      <c r="AE147" s="630"/>
      <c r="AF147" s="630"/>
      <c r="AG147" s="630"/>
    </row>
    <row r="148" spans="1:33">
      <c r="A148" s="628"/>
      <c r="B148" s="628"/>
      <c r="C148" s="630"/>
      <c r="D148" s="628"/>
      <c r="E148" s="630"/>
      <c r="F148" s="629"/>
      <c r="G148" s="635"/>
      <c r="H148" s="624"/>
      <c r="I148" s="630"/>
      <c r="K148" s="633"/>
      <c r="M148" s="634"/>
      <c r="O148" s="769"/>
      <c r="Q148" s="627"/>
      <c r="R148" s="634"/>
      <c r="T148" s="624"/>
      <c r="W148" s="623"/>
      <c r="X148" s="623"/>
      <c r="Y148" s="633"/>
      <c r="Z148" s="624"/>
      <c r="AB148" s="630"/>
      <c r="AC148" s="630"/>
      <c r="AD148" s="630"/>
      <c r="AE148" s="630"/>
      <c r="AF148" s="630"/>
      <c r="AG148" s="630"/>
    </row>
    <row r="149" spans="1:33">
      <c r="A149" s="628"/>
      <c r="B149" s="628"/>
      <c r="C149" s="630"/>
      <c r="D149" s="628"/>
      <c r="E149" s="630"/>
      <c r="F149" s="629"/>
      <c r="G149" s="635"/>
      <c r="H149" s="624"/>
      <c r="I149" s="630"/>
      <c r="K149" s="633"/>
      <c r="M149" s="634"/>
      <c r="O149" s="769"/>
      <c r="Q149" s="627"/>
      <c r="R149" s="634"/>
      <c r="T149" s="624"/>
      <c r="W149" s="623"/>
      <c r="X149" s="623"/>
      <c r="Y149" s="633"/>
      <c r="Z149" s="624"/>
      <c r="AB149" s="630"/>
      <c r="AC149" s="630"/>
      <c r="AD149" s="630"/>
      <c r="AE149" s="630"/>
      <c r="AF149" s="630"/>
      <c r="AG149" s="630"/>
    </row>
    <row r="150" spans="1:33">
      <c r="A150" s="628"/>
      <c r="B150" s="628"/>
      <c r="C150" s="630"/>
      <c r="D150" s="628"/>
      <c r="E150" s="630"/>
      <c r="F150" s="629"/>
      <c r="G150" s="635"/>
      <c r="H150" s="624"/>
      <c r="I150" s="630"/>
      <c r="K150" s="633"/>
      <c r="M150" s="634"/>
      <c r="O150" s="769"/>
      <c r="Q150" s="627"/>
      <c r="R150" s="634"/>
      <c r="T150" s="624"/>
      <c r="W150" s="623"/>
      <c r="X150" s="623"/>
      <c r="Y150" s="633"/>
      <c r="Z150" s="624"/>
      <c r="AB150" s="630"/>
      <c r="AC150" s="630"/>
      <c r="AD150" s="630"/>
      <c r="AE150" s="630"/>
      <c r="AF150" s="630"/>
      <c r="AG150" s="630"/>
    </row>
    <row r="151" spans="1:33">
      <c r="A151" s="628"/>
      <c r="B151" s="628"/>
      <c r="C151" s="630"/>
      <c r="D151" s="628"/>
      <c r="E151" s="630"/>
      <c r="F151" s="629"/>
      <c r="G151" s="635"/>
      <c r="H151" s="624"/>
      <c r="I151" s="630"/>
      <c r="K151" s="633"/>
      <c r="M151" s="634"/>
      <c r="O151" s="769"/>
      <c r="Q151" s="627"/>
      <c r="R151" s="634"/>
      <c r="T151" s="624"/>
      <c r="W151" s="623"/>
      <c r="X151" s="623"/>
      <c r="Y151" s="633"/>
      <c r="Z151" s="624"/>
      <c r="AB151" s="630"/>
      <c r="AC151" s="630"/>
      <c r="AD151" s="630"/>
      <c r="AE151" s="630"/>
      <c r="AF151" s="630"/>
      <c r="AG151" s="630"/>
    </row>
    <row r="152" spans="1:33">
      <c r="A152" s="628"/>
      <c r="B152" s="628"/>
      <c r="C152" s="630"/>
      <c r="D152" s="628"/>
      <c r="E152" s="630"/>
      <c r="F152" s="629"/>
      <c r="G152" s="635"/>
      <c r="H152" s="624"/>
      <c r="I152" s="630"/>
      <c r="K152" s="633"/>
      <c r="M152" s="634"/>
      <c r="O152" s="769"/>
      <c r="Q152" s="627"/>
      <c r="R152" s="634"/>
      <c r="T152" s="624"/>
      <c r="W152" s="623"/>
      <c r="X152" s="623"/>
      <c r="Y152" s="633"/>
      <c r="Z152" s="624"/>
      <c r="AB152" s="630"/>
      <c r="AC152" s="630"/>
      <c r="AD152" s="630"/>
      <c r="AE152" s="630"/>
      <c r="AF152" s="630"/>
      <c r="AG152" s="630"/>
    </row>
    <row r="153" spans="1:33">
      <c r="A153" s="628"/>
      <c r="B153" s="628"/>
      <c r="C153" s="630"/>
      <c r="D153" s="628"/>
      <c r="E153" s="630"/>
      <c r="F153" s="629"/>
      <c r="G153" s="635"/>
      <c r="H153" s="624"/>
      <c r="I153" s="630"/>
      <c r="K153" s="633"/>
      <c r="M153" s="634"/>
      <c r="O153" s="769"/>
      <c r="Q153" s="627"/>
      <c r="R153" s="634"/>
      <c r="T153" s="624"/>
      <c r="W153" s="623"/>
      <c r="X153" s="623"/>
      <c r="Y153" s="633"/>
      <c r="Z153" s="624"/>
      <c r="AB153" s="630"/>
      <c r="AC153" s="630"/>
      <c r="AD153" s="630"/>
      <c r="AE153" s="630"/>
      <c r="AF153" s="630"/>
      <c r="AG153" s="630"/>
    </row>
    <row r="154" spans="1:33">
      <c r="A154" s="628"/>
      <c r="B154" s="628"/>
      <c r="C154" s="630"/>
      <c r="D154" s="628"/>
      <c r="E154" s="630"/>
      <c r="F154" s="629"/>
      <c r="G154" s="635"/>
      <c r="H154" s="624"/>
      <c r="I154" s="630"/>
      <c r="K154" s="633"/>
      <c r="M154" s="634"/>
      <c r="O154" s="769"/>
      <c r="Q154" s="627"/>
      <c r="R154" s="634"/>
      <c r="T154" s="624"/>
      <c r="W154" s="623"/>
      <c r="X154" s="623"/>
      <c r="Y154" s="633"/>
      <c r="Z154" s="624"/>
      <c r="AB154" s="630"/>
      <c r="AC154" s="630"/>
      <c r="AD154" s="630"/>
      <c r="AE154" s="630"/>
      <c r="AF154" s="630"/>
      <c r="AG154" s="630"/>
    </row>
    <row r="155" spans="1:33">
      <c r="A155" s="628"/>
      <c r="B155" s="628"/>
      <c r="C155" s="630"/>
      <c r="D155" s="628"/>
      <c r="E155" s="630"/>
      <c r="F155" s="629"/>
      <c r="G155" s="635"/>
      <c r="H155" s="624"/>
      <c r="I155" s="630"/>
      <c r="K155" s="633"/>
      <c r="M155" s="634"/>
      <c r="O155" s="769"/>
      <c r="Q155" s="627"/>
      <c r="R155" s="634"/>
      <c r="T155" s="624"/>
      <c r="W155" s="623"/>
      <c r="X155" s="623"/>
      <c r="Y155" s="633"/>
      <c r="Z155" s="624"/>
      <c r="AB155" s="630"/>
      <c r="AC155" s="630"/>
      <c r="AD155" s="630"/>
      <c r="AE155" s="630"/>
      <c r="AF155" s="630"/>
      <c r="AG155" s="630"/>
    </row>
    <row r="156" spans="1:33">
      <c r="A156" s="628"/>
      <c r="B156" s="628"/>
      <c r="C156" s="630"/>
      <c r="D156" s="628"/>
      <c r="E156" s="630"/>
      <c r="F156" s="629"/>
      <c r="G156" s="635"/>
      <c r="H156" s="624"/>
      <c r="I156" s="630"/>
      <c r="K156" s="633"/>
      <c r="M156" s="634"/>
      <c r="O156" s="769"/>
      <c r="Q156" s="627"/>
      <c r="R156" s="634"/>
      <c r="T156" s="624"/>
      <c r="W156" s="623"/>
      <c r="X156" s="623"/>
      <c r="Y156" s="633"/>
      <c r="Z156" s="624"/>
      <c r="AB156" s="630"/>
      <c r="AC156" s="630"/>
      <c r="AD156" s="630"/>
      <c r="AE156" s="630"/>
      <c r="AF156" s="630"/>
      <c r="AG156" s="630"/>
    </row>
    <row r="157" spans="1:33">
      <c r="A157" s="628"/>
      <c r="B157" s="628"/>
      <c r="C157" s="630"/>
      <c r="D157" s="628"/>
      <c r="E157" s="630"/>
      <c r="F157" s="629"/>
      <c r="G157" s="635"/>
      <c r="H157" s="624"/>
      <c r="I157" s="630"/>
      <c r="K157" s="633"/>
      <c r="M157" s="634"/>
      <c r="O157" s="769"/>
      <c r="Q157" s="627"/>
      <c r="R157" s="634"/>
      <c r="T157" s="624"/>
      <c r="W157" s="623"/>
      <c r="X157" s="623"/>
      <c r="Y157" s="633"/>
      <c r="Z157" s="624"/>
      <c r="AB157" s="630"/>
      <c r="AC157" s="630"/>
      <c r="AD157" s="630"/>
      <c r="AE157" s="630"/>
      <c r="AF157" s="630"/>
      <c r="AG157" s="630"/>
    </row>
    <row r="158" spans="1:33">
      <c r="A158" s="628"/>
      <c r="B158" s="628"/>
      <c r="C158" s="630"/>
      <c r="D158" s="628"/>
      <c r="E158" s="630"/>
      <c r="F158" s="629"/>
      <c r="G158" s="635"/>
      <c r="H158" s="624"/>
      <c r="I158" s="630"/>
      <c r="K158" s="633"/>
      <c r="M158" s="634"/>
      <c r="O158" s="769"/>
      <c r="Q158" s="627"/>
      <c r="R158" s="634"/>
      <c r="T158" s="624"/>
      <c r="W158" s="623"/>
      <c r="X158" s="623"/>
      <c r="Y158" s="633"/>
      <c r="Z158" s="624"/>
      <c r="AB158" s="630"/>
      <c r="AC158" s="630"/>
      <c r="AD158" s="630"/>
      <c r="AE158" s="630"/>
      <c r="AF158" s="630"/>
      <c r="AG158" s="630"/>
    </row>
    <row r="159" spans="1:33">
      <c r="A159" s="628"/>
      <c r="B159" s="628"/>
      <c r="C159" s="630"/>
      <c r="D159" s="628"/>
      <c r="E159" s="630"/>
      <c r="F159" s="629"/>
      <c r="G159" s="635"/>
      <c r="H159" s="624"/>
      <c r="I159" s="630"/>
      <c r="K159" s="633"/>
      <c r="M159" s="634"/>
      <c r="O159" s="769"/>
      <c r="Q159" s="627"/>
      <c r="R159" s="634"/>
      <c r="T159" s="624"/>
      <c r="W159" s="623"/>
      <c r="X159" s="623"/>
      <c r="Y159" s="633"/>
      <c r="Z159" s="624"/>
      <c r="AB159" s="630"/>
      <c r="AC159" s="630"/>
      <c r="AD159" s="630"/>
      <c r="AE159" s="630"/>
      <c r="AF159" s="630"/>
      <c r="AG159" s="630"/>
    </row>
    <row r="160" spans="1:33">
      <c r="A160" s="628"/>
      <c r="B160" s="628"/>
      <c r="C160" s="630"/>
      <c r="D160" s="628"/>
      <c r="E160" s="630"/>
      <c r="F160" s="629"/>
      <c r="G160" s="635"/>
      <c r="H160" s="624"/>
      <c r="I160" s="630"/>
      <c r="K160" s="633"/>
      <c r="M160" s="634"/>
      <c r="O160" s="769"/>
      <c r="Q160" s="627"/>
      <c r="R160" s="634"/>
      <c r="T160" s="624"/>
      <c r="W160" s="623"/>
      <c r="X160" s="623"/>
      <c r="Y160" s="633"/>
      <c r="Z160" s="624"/>
      <c r="AB160" s="630"/>
      <c r="AC160" s="630"/>
      <c r="AD160" s="630"/>
      <c r="AE160" s="630"/>
      <c r="AF160" s="630"/>
      <c r="AG160" s="630"/>
    </row>
    <row r="161" spans="1:33">
      <c r="A161" s="628"/>
      <c r="B161" s="628"/>
      <c r="C161" s="630"/>
      <c r="D161" s="628"/>
      <c r="E161" s="630"/>
      <c r="F161" s="629"/>
      <c r="G161" s="635"/>
      <c r="H161" s="624"/>
      <c r="I161" s="630"/>
      <c r="K161" s="633"/>
      <c r="M161" s="634"/>
      <c r="O161" s="769"/>
      <c r="Q161" s="627"/>
      <c r="R161" s="634"/>
      <c r="T161" s="624"/>
      <c r="W161" s="623"/>
      <c r="X161" s="623"/>
      <c r="Y161" s="633"/>
      <c r="Z161" s="624"/>
      <c r="AB161" s="630"/>
      <c r="AC161" s="630"/>
      <c r="AD161" s="630"/>
      <c r="AE161" s="630"/>
      <c r="AF161" s="630"/>
      <c r="AG161" s="630"/>
    </row>
    <row r="162" spans="1:33">
      <c r="A162" s="628"/>
      <c r="B162" s="628"/>
      <c r="C162" s="630"/>
      <c r="D162" s="628"/>
      <c r="E162" s="630"/>
      <c r="F162" s="629"/>
      <c r="G162" s="635"/>
      <c r="H162" s="624"/>
      <c r="I162" s="630"/>
      <c r="K162" s="633"/>
      <c r="M162" s="634"/>
      <c r="O162" s="769"/>
      <c r="Q162" s="627"/>
      <c r="R162" s="634"/>
      <c r="T162" s="624"/>
      <c r="W162" s="623"/>
      <c r="X162" s="623"/>
      <c r="Y162" s="633"/>
      <c r="Z162" s="624"/>
      <c r="AB162" s="630"/>
      <c r="AC162" s="630"/>
      <c r="AD162" s="630"/>
      <c r="AE162" s="630"/>
      <c r="AF162" s="630"/>
      <c r="AG162" s="630"/>
    </row>
    <row r="163" spans="1:33">
      <c r="A163" s="628"/>
      <c r="B163" s="628"/>
      <c r="C163" s="630"/>
      <c r="D163" s="628"/>
      <c r="E163" s="630"/>
      <c r="F163" s="629"/>
      <c r="G163" s="635"/>
      <c r="H163" s="624"/>
      <c r="I163" s="630"/>
      <c r="K163" s="633"/>
      <c r="M163" s="634"/>
      <c r="O163" s="769"/>
      <c r="Q163" s="627"/>
      <c r="R163" s="634"/>
      <c r="T163" s="624"/>
      <c r="W163" s="623"/>
      <c r="X163" s="623"/>
      <c r="Y163" s="633"/>
      <c r="Z163" s="624"/>
      <c r="AB163" s="630"/>
      <c r="AC163" s="630"/>
      <c r="AD163" s="630"/>
      <c r="AE163" s="630"/>
      <c r="AF163" s="630"/>
      <c r="AG163" s="630"/>
    </row>
    <row r="164" spans="1:33">
      <c r="A164" s="628"/>
      <c r="B164" s="628"/>
      <c r="C164" s="630"/>
      <c r="D164" s="628"/>
      <c r="E164" s="630"/>
      <c r="F164" s="629"/>
      <c r="G164" s="635"/>
      <c r="H164" s="624"/>
      <c r="I164" s="630"/>
      <c r="K164" s="633"/>
      <c r="M164" s="634"/>
      <c r="O164" s="769"/>
      <c r="Q164" s="627"/>
      <c r="R164" s="634"/>
      <c r="T164" s="624"/>
      <c r="W164" s="623"/>
      <c r="X164" s="623"/>
      <c r="Y164" s="633"/>
      <c r="Z164" s="624"/>
      <c r="AB164" s="630"/>
      <c r="AC164" s="630"/>
      <c r="AD164" s="630"/>
      <c r="AE164" s="630"/>
      <c r="AF164" s="630"/>
      <c r="AG164" s="630"/>
    </row>
    <row r="165" spans="1:33">
      <c r="A165" s="628"/>
      <c r="B165" s="628"/>
      <c r="C165" s="630"/>
      <c r="D165" s="628"/>
      <c r="E165" s="630"/>
      <c r="F165" s="629"/>
      <c r="G165" s="635"/>
      <c r="H165" s="624"/>
      <c r="I165" s="630"/>
      <c r="K165" s="633"/>
      <c r="M165" s="634"/>
      <c r="O165" s="769"/>
      <c r="Q165" s="627"/>
      <c r="R165" s="634"/>
      <c r="T165" s="624"/>
      <c r="W165" s="623"/>
      <c r="X165" s="623"/>
      <c r="Y165" s="633"/>
      <c r="Z165" s="624"/>
      <c r="AB165" s="630"/>
      <c r="AC165" s="630"/>
      <c r="AD165" s="630"/>
      <c r="AE165" s="630"/>
      <c r="AF165" s="630"/>
      <c r="AG165" s="630"/>
    </row>
    <row r="166" spans="1:33">
      <c r="A166" s="628"/>
      <c r="B166" s="628"/>
      <c r="C166" s="630"/>
      <c r="D166" s="628"/>
      <c r="E166" s="630"/>
      <c r="F166" s="629"/>
      <c r="G166" s="635"/>
      <c r="H166" s="624"/>
      <c r="I166" s="630"/>
      <c r="K166" s="633"/>
      <c r="M166" s="634"/>
      <c r="O166" s="769"/>
      <c r="Q166" s="627"/>
      <c r="R166" s="634"/>
      <c r="T166" s="624"/>
      <c r="W166" s="623"/>
      <c r="X166" s="623"/>
      <c r="Y166" s="633"/>
      <c r="Z166" s="624"/>
      <c r="AB166" s="630"/>
      <c r="AC166" s="630"/>
      <c r="AD166" s="630"/>
      <c r="AE166" s="630"/>
      <c r="AF166" s="630"/>
      <c r="AG166" s="630"/>
    </row>
    <row r="167" spans="1:33">
      <c r="A167" s="628"/>
      <c r="B167" s="628"/>
      <c r="C167" s="630"/>
      <c r="D167" s="628"/>
      <c r="E167" s="630"/>
      <c r="F167" s="629"/>
      <c r="G167" s="635"/>
      <c r="H167" s="624"/>
      <c r="I167" s="630"/>
      <c r="K167" s="633"/>
      <c r="M167" s="634"/>
      <c r="O167" s="769"/>
      <c r="Q167" s="627"/>
      <c r="R167" s="634"/>
      <c r="T167" s="624"/>
      <c r="W167" s="623"/>
      <c r="X167" s="623"/>
      <c r="Y167" s="633"/>
      <c r="Z167" s="624"/>
      <c r="AB167" s="630"/>
      <c r="AC167" s="630"/>
      <c r="AD167" s="630"/>
      <c r="AE167" s="630"/>
      <c r="AF167" s="630"/>
      <c r="AG167" s="630"/>
    </row>
    <row r="168" spans="1:33">
      <c r="A168" s="628"/>
      <c r="B168" s="628"/>
      <c r="C168" s="630"/>
      <c r="D168" s="628"/>
      <c r="E168" s="630"/>
      <c r="F168" s="629"/>
      <c r="G168" s="635"/>
      <c r="H168" s="624"/>
      <c r="I168" s="630"/>
      <c r="K168" s="633"/>
      <c r="M168" s="634"/>
      <c r="O168" s="769"/>
      <c r="Q168" s="627"/>
      <c r="R168" s="634"/>
      <c r="T168" s="624"/>
      <c r="W168" s="623"/>
      <c r="X168" s="623"/>
      <c r="Y168" s="633"/>
      <c r="Z168" s="624"/>
      <c r="AB168" s="630"/>
      <c r="AC168" s="630"/>
      <c r="AD168" s="630"/>
      <c r="AE168" s="630"/>
      <c r="AF168" s="630"/>
      <c r="AG168" s="630"/>
    </row>
    <row r="169" spans="1:33">
      <c r="A169" s="628"/>
      <c r="B169" s="628"/>
      <c r="C169" s="630"/>
      <c r="D169" s="628"/>
      <c r="E169" s="630"/>
      <c r="F169" s="629"/>
      <c r="G169" s="635"/>
      <c r="H169" s="624"/>
      <c r="I169" s="630"/>
      <c r="K169" s="633"/>
      <c r="M169" s="634"/>
      <c r="O169" s="769"/>
      <c r="Q169" s="627"/>
      <c r="R169" s="634"/>
      <c r="T169" s="624"/>
      <c r="W169" s="623"/>
      <c r="X169" s="623"/>
      <c r="Y169" s="633"/>
      <c r="Z169" s="624"/>
      <c r="AB169" s="630"/>
      <c r="AC169" s="630"/>
      <c r="AD169" s="630"/>
      <c r="AE169" s="630"/>
      <c r="AF169" s="630"/>
      <c r="AG169" s="630"/>
    </row>
    <row r="170" spans="1:33">
      <c r="A170" s="628"/>
      <c r="B170" s="628"/>
      <c r="C170" s="630"/>
      <c r="D170" s="628"/>
      <c r="E170" s="630"/>
      <c r="F170" s="629"/>
      <c r="G170" s="635"/>
      <c r="H170" s="624"/>
      <c r="I170" s="630"/>
      <c r="K170" s="633"/>
      <c r="M170" s="634"/>
      <c r="O170" s="769"/>
      <c r="Q170" s="627"/>
      <c r="R170" s="634"/>
      <c r="T170" s="624"/>
      <c r="W170" s="623"/>
      <c r="X170" s="623"/>
      <c r="Y170" s="633"/>
      <c r="Z170" s="624"/>
      <c r="AB170" s="630"/>
      <c r="AC170" s="630"/>
      <c r="AD170" s="630"/>
      <c r="AE170" s="630"/>
      <c r="AF170" s="630"/>
      <c r="AG170" s="630"/>
    </row>
    <row r="171" spans="1:33">
      <c r="A171" s="628"/>
      <c r="B171" s="628"/>
      <c r="C171" s="630"/>
      <c r="D171" s="628"/>
      <c r="E171" s="630"/>
      <c r="F171" s="629"/>
      <c r="G171" s="635"/>
      <c r="H171" s="624"/>
      <c r="I171" s="630"/>
      <c r="K171" s="633"/>
      <c r="M171" s="634"/>
      <c r="O171" s="769"/>
      <c r="Q171" s="627"/>
      <c r="R171" s="634"/>
      <c r="T171" s="624"/>
      <c r="W171" s="623"/>
      <c r="X171" s="623"/>
      <c r="Y171" s="633"/>
      <c r="Z171" s="624"/>
      <c r="AB171" s="630"/>
      <c r="AC171" s="630"/>
      <c r="AD171" s="630"/>
      <c r="AE171" s="630"/>
      <c r="AF171" s="630"/>
      <c r="AG171" s="630"/>
    </row>
    <row r="172" spans="1:33">
      <c r="A172" s="628"/>
      <c r="B172" s="628"/>
      <c r="C172" s="630"/>
      <c r="D172" s="628"/>
      <c r="E172" s="630"/>
      <c r="F172" s="629"/>
      <c r="G172" s="635"/>
      <c r="H172" s="624"/>
      <c r="I172" s="630"/>
      <c r="K172" s="633"/>
      <c r="M172" s="634"/>
      <c r="O172" s="769"/>
      <c r="Q172" s="627"/>
      <c r="R172" s="634"/>
      <c r="T172" s="624"/>
      <c r="W172" s="623"/>
      <c r="X172" s="623"/>
      <c r="Y172" s="633"/>
      <c r="Z172" s="624"/>
      <c r="AB172" s="630"/>
      <c r="AC172" s="630"/>
      <c r="AD172" s="630"/>
      <c r="AE172" s="630"/>
      <c r="AF172" s="630"/>
      <c r="AG172" s="630"/>
    </row>
    <row r="173" spans="1:33">
      <c r="A173" s="628"/>
      <c r="B173" s="628"/>
      <c r="C173" s="630"/>
      <c r="D173" s="628"/>
      <c r="E173" s="630"/>
      <c r="F173" s="629"/>
      <c r="G173" s="635"/>
      <c r="H173" s="624"/>
      <c r="I173" s="630"/>
      <c r="K173" s="633"/>
      <c r="M173" s="634"/>
      <c r="O173" s="769"/>
      <c r="Q173" s="627"/>
      <c r="R173" s="634"/>
      <c r="T173" s="624"/>
      <c r="W173" s="623"/>
      <c r="X173" s="623"/>
      <c r="Y173" s="633"/>
      <c r="Z173" s="624"/>
      <c r="AB173" s="630"/>
      <c r="AC173" s="630"/>
      <c r="AD173" s="630"/>
      <c r="AE173" s="630"/>
      <c r="AF173" s="630"/>
      <c r="AG173" s="630"/>
    </row>
    <row r="174" spans="1:33">
      <c r="A174" s="628"/>
      <c r="B174" s="628"/>
      <c r="C174" s="630"/>
      <c r="D174" s="628"/>
      <c r="E174" s="630"/>
      <c r="F174" s="629"/>
      <c r="G174" s="635"/>
      <c r="H174" s="624"/>
      <c r="I174" s="630"/>
      <c r="K174" s="633"/>
      <c r="M174" s="634"/>
      <c r="O174" s="769"/>
      <c r="Q174" s="627"/>
      <c r="R174" s="634"/>
      <c r="T174" s="624"/>
      <c r="W174" s="623"/>
      <c r="X174" s="623"/>
      <c r="Y174" s="633"/>
      <c r="Z174" s="624"/>
      <c r="AB174" s="630"/>
      <c r="AC174" s="630"/>
      <c r="AD174" s="630"/>
      <c r="AE174" s="630"/>
      <c r="AF174" s="630"/>
      <c r="AG174" s="630"/>
    </row>
    <row r="175" spans="1:33">
      <c r="A175" s="628"/>
      <c r="B175" s="628"/>
      <c r="C175" s="630"/>
      <c r="D175" s="628"/>
      <c r="E175" s="630"/>
      <c r="F175" s="629"/>
      <c r="G175" s="635"/>
      <c r="H175" s="624"/>
      <c r="I175" s="630"/>
      <c r="K175" s="633"/>
      <c r="M175" s="634"/>
      <c r="O175" s="769"/>
      <c r="Q175" s="627"/>
      <c r="R175" s="634"/>
      <c r="T175" s="624"/>
      <c r="W175" s="623"/>
      <c r="X175" s="623"/>
      <c r="Y175" s="633"/>
      <c r="Z175" s="624"/>
      <c r="AB175" s="630"/>
      <c r="AC175" s="630"/>
      <c r="AD175" s="630"/>
      <c r="AE175" s="630"/>
      <c r="AF175" s="630"/>
      <c r="AG175" s="630"/>
    </row>
    <row r="176" spans="1:33">
      <c r="A176" s="628"/>
      <c r="B176" s="628"/>
      <c r="C176" s="630"/>
      <c r="D176" s="628"/>
      <c r="E176" s="630"/>
      <c r="F176" s="629"/>
      <c r="G176" s="635"/>
      <c r="H176" s="624"/>
      <c r="I176" s="630"/>
      <c r="K176" s="633"/>
      <c r="M176" s="634"/>
      <c r="O176" s="769"/>
      <c r="Q176" s="627"/>
      <c r="R176" s="634"/>
      <c r="T176" s="624"/>
      <c r="W176" s="623"/>
      <c r="X176" s="623"/>
      <c r="Y176" s="633"/>
      <c r="Z176" s="624"/>
      <c r="AB176" s="630"/>
      <c r="AC176" s="630"/>
      <c r="AD176" s="630"/>
      <c r="AE176" s="630"/>
      <c r="AF176" s="630"/>
      <c r="AG176" s="630"/>
    </row>
    <row r="177" spans="1:33">
      <c r="A177" s="628"/>
      <c r="B177" s="628"/>
      <c r="C177" s="630"/>
      <c r="D177" s="628"/>
      <c r="E177" s="630"/>
      <c r="F177" s="629"/>
      <c r="G177" s="635"/>
      <c r="H177" s="624"/>
      <c r="I177" s="630"/>
      <c r="K177" s="633"/>
      <c r="M177" s="634"/>
      <c r="O177" s="769"/>
      <c r="Q177" s="627"/>
      <c r="R177" s="634"/>
      <c r="T177" s="624"/>
      <c r="W177" s="623"/>
      <c r="X177" s="623"/>
      <c r="Y177" s="633"/>
      <c r="Z177" s="624"/>
      <c r="AB177" s="630"/>
      <c r="AC177" s="630"/>
      <c r="AD177" s="630"/>
      <c r="AE177" s="630"/>
      <c r="AF177" s="630"/>
      <c r="AG177" s="630"/>
    </row>
    <row r="178" spans="1:33">
      <c r="A178" s="628"/>
      <c r="B178" s="628"/>
      <c r="C178" s="630"/>
      <c r="D178" s="628"/>
      <c r="E178" s="630"/>
      <c r="F178" s="629"/>
      <c r="G178" s="635"/>
      <c r="H178" s="624"/>
      <c r="I178" s="630"/>
      <c r="K178" s="633"/>
      <c r="M178" s="634"/>
      <c r="O178" s="769"/>
      <c r="Q178" s="627"/>
      <c r="R178" s="634"/>
      <c r="T178" s="624"/>
      <c r="W178" s="623"/>
      <c r="X178" s="623"/>
      <c r="Y178" s="633"/>
      <c r="Z178" s="624"/>
      <c r="AB178" s="630"/>
      <c r="AC178" s="630"/>
      <c r="AD178" s="630"/>
      <c r="AE178" s="630"/>
      <c r="AF178" s="630"/>
      <c r="AG178" s="630"/>
    </row>
    <row r="179" spans="1:33">
      <c r="A179" s="628"/>
      <c r="B179" s="628"/>
      <c r="C179" s="630"/>
      <c r="D179" s="628"/>
      <c r="E179" s="630"/>
      <c r="F179" s="629"/>
      <c r="G179" s="635"/>
      <c r="H179" s="624"/>
      <c r="I179" s="630"/>
      <c r="K179" s="633"/>
      <c r="M179" s="634"/>
      <c r="O179" s="769"/>
      <c r="Q179" s="627"/>
      <c r="R179" s="634"/>
      <c r="T179" s="624"/>
      <c r="W179" s="623"/>
      <c r="X179" s="623"/>
      <c r="Y179" s="633"/>
      <c r="Z179" s="624"/>
      <c r="AB179" s="630"/>
      <c r="AC179" s="630"/>
      <c r="AD179" s="630"/>
      <c r="AE179" s="630"/>
      <c r="AF179" s="630"/>
      <c r="AG179" s="630"/>
    </row>
    <row r="180" spans="1:33">
      <c r="A180" s="628"/>
      <c r="B180" s="628"/>
      <c r="C180" s="630"/>
      <c r="D180" s="628"/>
      <c r="E180" s="630"/>
      <c r="F180" s="629"/>
      <c r="G180" s="635"/>
      <c r="H180" s="624"/>
      <c r="I180" s="630"/>
      <c r="K180" s="633"/>
      <c r="M180" s="634"/>
      <c r="O180" s="769"/>
      <c r="Q180" s="627"/>
      <c r="R180" s="634"/>
      <c r="T180" s="624"/>
      <c r="W180" s="623"/>
      <c r="X180" s="623"/>
      <c r="Y180" s="633"/>
      <c r="Z180" s="624"/>
      <c r="AB180" s="630"/>
      <c r="AC180" s="630"/>
      <c r="AD180" s="630"/>
      <c r="AE180" s="630"/>
      <c r="AF180" s="630"/>
      <c r="AG180" s="630"/>
    </row>
    <row r="181" spans="1:33">
      <c r="A181" s="628"/>
      <c r="B181" s="628"/>
      <c r="C181" s="630"/>
      <c r="D181" s="628"/>
      <c r="E181" s="630"/>
      <c r="F181" s="629"/>
      <c r="G181" s="635"/>
      <c r="H181" s="624"/>
      <c r="I181" s="630"/>
      <c r="K181" s="633"/>
      <c r="M181" s="634"/>
      <c r="O181" s="769"/>
      <c r="Q181" s="627"/>
      <c r="R181" s="634"/>
      <c r="T181" s="624"/>
      <c r="W181" s="623"/>
      <c r="X181" s="623"/>
      <c r="Y181" s="633"/>
      <c r="Z181" s="624"/>
      <c r="AB181" s="630"/>
      <c r="AC181" s="630"/>
      <c r="AD181" s="630"/>
      <c r="AE181" s="630"/>
      <c r="AF181" s="630"/>
      <c r="AG181" s="630"/>
    </row>
    <row r="182" spans="1:33">
      <c r="A182" s="628"/>
      <c r="B182" s="628"/>
      <c r="C182" s="630"/>
      <c r="D182" s="628"/>
      <c r="E182" s="630"/>
      <c r="F182" s="629"/>
      <c r="G182" s="635"/>
      <c r="H182" s="624"/>
      <c r="I182" s="630"/>
      <c r="K182" s="633"/>
      <c r="M182" s="634"/>
      <c r="O182" s="769"/>
      <c r="Q182" s="627"/>
      <c r="R182" s="634"/>
      <c r="T182" s="624"/>
      <c r="W182" s="623"/>
      <c r="X182" s="623"/>
      <c r="Y182" s="633"/>
      <c r="Z182" s="624"/>
      <c r="AB182" s="630"/>
      <c r="AC182" s="630"/>
      <c r="AD182" s="630"/>
      <c r="AE182" s="630"/>
      <c r="AF182" s="630"/>
      <c r="AG182" s="630"/>
    </row>
    <row r="183" spans="1:33">
      <c r="A183" s="628"/>
      <c r="B183" s="628"/>
      <c r="C183" s="630"/>
      <c r="D183" s="628"/>
      <c r="E183" s="630"/>
      <c r="F183" s="629"/>
      <c r="G183" s="635"/>
      <c r="H183" s="624"/>
      <c r="I183" s="630"/>
      <c r="K183" s="633"/>
      <c r="M183" s="634"/>
      <c r="O183" s="769"/>
      <c r="Q183" s="627"/>
      <c r="R183" s="634"/>
      <c r="T183" s="624"/>
      <c r="W183" s="623"/>
      <c r="X183" s="623"/>
      <c r="Y183" s="633"/>
      <c r="Z183" s="624"/>
      <c r="AB183" s="630"/>
      <c r="AC183" s="630"/>
      <c r="AD183" s="630"/>
      <c r="AE183" s="630"/>
      <c r="AF183" s="630"/>
      <c r="AG183" s="630"/>
    </row>
    <row r="184" spans="1:33">
      <c r="A184" s="628"/>
      <c r="B184" s="628"/>
      <c r="C184" s="630"/>
      <c r="D184" s="628"/>
      <c r="E184" s="630"/>
      <c r="F184" s="629"/>
      <c r="G184" s="635"/>
      <c r="H184" s="624"/>
      <c r="I184" s="630"/>
      <c r="K184" s="633"/>
      <c r="M184" s="634"/>
      <c r="O184" s="769"/>
      <c r="Q184" s="627"/>
      <c r="R184" s="634"/>
      <c r="T184" s="624"/>
      <c r="W184" s="623"/>
      <c r="X184" s="623"/>
      <c r="Y184" s="633"/>
      <c r="Z184" s="624"/>
      <c r="AB184" s="630"/>
      <c r="AC184" s="630"/>
      <c r="AD184" s="630"/>
      <c r="AE184" s="630"/>
      <c r="AF184" s="630"/>
      <c r="AG184" s="630"/>
    </row>
    <row r="185" spans="1:33">
      <c r="A185" s="628"/>
      <c r="B185" s="628"/>
      <c r="C185" s="630"/>
      <c r="D185" s="628"/>
      <c r="E185" s="630"/>
      <c r="F185" s="629"/>
      <c r="G185" s="635"/>
      <c r="H185" s="624"/>
      <c r="I185" s="630"/>
      <c r="K185" s="633"/>
      <c r="M185" s="634"/>
      <c r="O185" s="769"/>
      <c r="Q185" s="627"/>
      <c r="R185" s="634"/>
      <c r="T185" s="624"/>
      <c r="W185" s="623"/>
      <c r="X185" s="623"/>
      <c r="Y185" s="633"/>
      <c r="Z185" s="624"/>
      <c r="AB185" s="630"/>
      <c r="AC185" s="630"/>
      <c r="AD185" s="630"/>
      <c r="AE185" s="630"/>
      <c r="AF185" s="630"/>
      <c r="AG185" s="630"/>
    </row>
    <row r="186" spans="1:33">
      <c r="A186" s="628"/>
      <c r="B186" s="628"/>
      <c r="C186" s="630"/>
      <c r="D186" s="628"/>
      <c r="E186" s="630"/>
      <c r="F186" s="629"/>
      <c r="G186" s="635"/>
      <c r="H186" s="624"/>
      <c r="I186" s="630"/>
      <c r="K186" s="633"/>
      <c r="M186" s="634"/>
      <c r="O186" s="769"/>
      <c r="Q186" s="627"/>
      <c r="R186" s="634"/>
      <c r="T186" s="624"/>
      <c r="W186" s="623"/>
      <c r="X186" s="623"/>
      <c r="Y186" s="633"/>
      <c r="Z186" s="624"/>
      <c r="AB186" s="630"/>
      <c r="AC186" s="630"/>
      <c r="AD186" s="630"/>
      <c r="AE186" s="630"/>
      <c r="AF186" s="630"/>
      <c r="AG186" s="630"/>
    </row>
    <row r="187" spans="1:33">
      <c r="A187" s="628"/>
      <c r="B187" s="628"/>
      <c r="C187" s="630"/>
      <c r="D187" s="628"/>
      <c r="E187" s="630"/>
      <c r="F187" s="629"/>
      <c r="G187" s="635"/>
      <c r="H187" s="624"/>
      <c r="I187" s="630"/>
      <c r="K187" s="633"/>
      <c r="M187" s="634"/>
      <c r="O187" s="769"/>
      <c r="Q187" s="627"/>
      <c r="R187" s="634"/>
      <c r="T187" s="624"/>
      <c r="W187" s="623"/>
      <c r="X187" s="623"/>
      <c r="Y187" s="633"/>
      <c r="Z187" s="624"/>
      <c r="AB187" s="630"/>
      <c r="AC187" s="630"/>
      <c r="AD187" s="630"/>
      <c r="AE187" s="630"/>
      <c r="AF187" s="630"/>
      <c r="AG187" s="630"/>
    </row>
    <row r="188" spans="1:33">
      <c r="A188" s="628"/>
      <c r="B188" s="628"/>
      <c r="C188" s="630"/>
      <c r="D188" s="628"/>
      <c r="E188" s="630"/>
      <c r="F188" s="629"/>
      <c r="G188" s="635"/>
      <c r="H188" s="624"/>
      <c r="I188" s="630"/>
      <c r="K188" s="633"/>
      <c r="M188" s="634"/>
      <c r="O188" s="769"/>
      <c r="Q188" s="627"/>
      <c r="R188" s="634"/>
      <c r="T188" s="624"/>
      <c r="W188" s="623"/>
      <c r="X188" s="623"/>
      <c r="Y188" s="633"/>
      <c r="Z188" s="624"/>
      <c r="AB188" s="630"/>
      <c r="AC188" s="630"/>
      <c r="AD188" s="630"/>
      <c r="AE188" s="630"/>
      <c r="AF188" s="630"/>
      <c r="AG188" s="630"/>
    </row>
    <row r="189" spans="1:33">
      <c r="A189" s="628"/>
      <c r="B189" s="628"/>
      <c r="C189" s="630"/>
      <c r="D189" s="628"/>
      <c r="E189" s="630"/>
      <c r="F189" s="629"/>
      <c r="G189" s="635"/>
      <c r="H189" s="624"/>
      <c r="I189" s="630"/>
      <c r="K189" s="633"/>
      <c r="M189" s="634"/>
      <c r="O189" s="769"/>
      <c r="Q189" s="627"/>
      <c r="R189" s="634"/>
      <c r="T189" s="624"/>
      <c r="W189" s="623"/>
      <c r="X189" s="623"/>
      <c r="Y189" s="633"/>
      <c r="Z189" s="624"/>
      <c r="AB189" s="630"/>
      <c r="AC189" s="630"/>
      <c r="AD189" s="630"/>
      <c r="AE189" s="630"/>
      <c r="AF189" s="630"/>
      <c r="AG189" s="630"/>
    </row>
    <row r="190" spans="1:33">
      <c r="A190" s="628"/>
      <c r="B190" s="628"/>
      <c r="C190" s="630"/>
      <c r="D190" s="628"/>
      <c r="E190" s="630"/>
      <c r="F190" s="629"/>
      <c r="G190" s="635"/>
      <c r="H190" s="624"/>
      <c r="I190" s="630"/>
      <c r="K190" s="633"/>
      <c r="M190" s="634"/>
      <c r="O190" s="769"/>
      <c r="Q190" s="627"/>
      <c r="R190" s="634"/>
      <c r="T190" s="624"/>
      <c r="W190" s="623"/>
      <c r="X190" s="623"/>
      <c r="Y190" s="633"/>
      <c r="Z190" s="624"/>
      <c r="AB190" s="630"/>
      <c r="AC190" s="630"/>
      <c r="AD190" s="630"/>
      <c r="AE190" s="630"/>
      <c r="AF190" s="630"/>
      <c r="AG190" s="630"/>
    </row>
    <row r="191" spans="1:33">
      <c r="A191" s="628"/>
      <c r="B191" s="628"/>
      <c r="C191" s="630"/>
      <c r="D191" s="628"/>
      <c r="E191" s="630"/>
      <c r="F191" s="629"/>
      <c r="G191" s="635"/>
      <c r="H191" s="624"/>
      <c r="I191" s="630"/>
      <c r="K191" s="633"/>
      <c r="M191" s="634"/>
      <c r="O191" s="769"/>
      <c r="Q191" s="627"/>
      <c r="R191" s="634"/>
      <c r="T191" s="624"/>
      <c r="W191" s="623"/>
      <c r="X191" s="623"/>
      <c r="Y191" s="633"/>
      <c r="Z191" s="624"/>
      <c r="AB191" s="630"/>
      <c r="AC191" s="630"/>
      <c r="AD191" s="630"/>
      <c r="AE191" s="630"/>
      <c r="AF191" s="630"/>
      <c r="AG191" s="630"/>
    </row>
    <row r="192" spans="1:33">
      <c r="A192" s="628"/>
      <c r="B192" s="628"/>
      <c r="C192" s="630"/>
      <c r="D192" s="628"/>
      <c r="E192" s="630"/>
      <c r="F192" s="629"/>
      <c r="G192" s="635"/>
      <c r="H192" s="624"/>
      <c r="I192" s="630"/>
      <c r="K192" s="633"/>
      <c r="M192" s="634"/>
      <c r="O192" s="769"/>
      <c r="Q192" s="627"/>
      <c r="R192" s="634"/>
      <c r="T192" s="624"/>
      <c r="W192" s="623"/>
      <c r="X192" s="623"/>
      <c r="Y192" s="633"/>
      <c r="Z192" s="624"/>
      <c r="AB192" s="630"/>
      <c r="AC192" s="630"/>
      <c r="AD192" s="630"/>
      <c r="AE192" s="630"/>
      <c r="AF192" s="630"/>
      <c r="AG192" s="630"/>
    </row>
    <row r="193" spans="1:33">
      <c r="A193" s="628"/>
      <c r="B193" s="628"/>
      <c r="C193" s="630"/>
      <c r="D193" s="628"/>
      <c r="E193" s="630"/>
      <c r="F193" s="629"/>
      <c r="G193" s="635"/>
      <c r="H193" s="624"/>
      <c r="I193" s="630"/>
      <c r="K193" s="633"/>
      <c r="M193" s="634"/>
      <c r="O193" s="769"/>
      <c r="Q193" s="627"/>
      <c r="R193" s="634"/>
      <c r="T193" s="624"/>
      <c r="W193" s="623"/>
      <c r="X193" s="623"/>
      <c r="Y193" s="633"/>
      <c r="Z193" s="624"/>
      <c r="AB193" s="630"/>
      <c r="AC193" s="630"/>
      <c r="AD193" s="630"/>
      <c r="AE193" s="630"/>
      <c r="AF193" s="630"/>
      <c r="AG193" s="630"/>
    </row>
    <row r="194" spans="1:33">
      <c r="A194" s="628"/>
      <c r="B194" s="628"/>
      <c r="C194" s="630"/>
      <c r="D194" s="628"/>
      <c r="E194" s="630"/>
      <c r="F194" s="629"/>
      <c r="G194" s="635"/>
      <c r="H194" s="624"/>
      <c r="I194" s="630"/>
      <c r="K194" s="633"/>
      <c r="M194" s="634"/>
      <c r="O194" s="769"/>
      <c r="Q194" s="627"/>
      <c r="R194" s="634"/>
      <c r="T194" s="624"/>
      <c r="W194" s="623"/>
      <c r="X194" s="623"/>
      <c r="Y194" s="633"/>
      <c r="Z194" s="624"/>
      <c r="AB194" s="630"/>
      <c r="AC194" s="630"/>
      <c r="AD194" s="630"/>
      <c r="AE194" s="630"/>
      <c r="AF194" s="630"/>
      <c r="AG194" s="630"/>
    </row>
    <row r="195" spans="1:33">
      <c r="A195" s="628"/>
      <c r="B195" s="628"/>
      <c r="C195" s="630"/>
      <c r="D195" s="628"/>
      <c r="E195" s="630"/>
      <c r="F195" s="629"/>
      <c r="G195" s="635"/>
      <c r="H195" s="624"/>
      <c r="I195" s="630"/>
      <c r="K195" s="633"/>
      <c r="M195" s="634"/>
      <c r="O195" s="769"/>
      <c r="Q195" s="627"/>
      <c r="R195" s="634"/>
      <c r="T195" s="624"/>
      <c r="W195" s="623"/>
      <c r="X195" s="623"/>
      <c r="Y195" s="633"/>
      <c r="Z195" s="624"/>
      <c r="AB195" s="630"/>
      <c r="AC195" s="630"/>
      <c r="AD195" s="630"/>
      <c r="AE195" s="630"/>
      <c r="AF195" s="630"/>
      <c r="AG195" s="630"/>
    </row>
    <row r="196" spans="1:33">
      <c r="A196" s="628"/>
      <c r="B196" s="628"/>
      <c r="C196" s="630"/>
      <c r="D196" s="628"/>
      <c r="E196" s="630"/>
      <c r="F196" s="629"/>
      <c r="G196" s="635"/>
      <c r="H196" s="624"/>
      <c r="I196" s="630"/>
      <c r="K196" s="633"/>
      <c r="M196" s="634"/>
      <c r="O196" s="769"/>
      <c r="Q196" s="627"/>
      <c r="R196" s="634"/>
      <c r="T196" s="624"/>
      <c r="W196" s="623"/>
      <c r="X196" s="623"/>
      <c r="Y196" s="633"/>
      <c r="Z196" s="624"/>
      <c r="AB196" s="630"/>
      <c r="AC196" s="630"/>
      <c r="AD196" s="630"/>
      <c r="AE196" s="630"/>
      <c r="AF196" s="630"/>
      <c r="AG196" s="630"/>
    </row>
    <row r="197" spans="1:33">
      <c r="A197" s="628"/>
      <c r="B197" s="628"/>
      <c r="C197" s="630"/>
      <c r="D197" s="628"/>
      <c r="E197" s="630"/>
      <c r="F197" s="629"/>
      <c r="G197" s="635"/>
      <c r="H197" s="624"/>
      <c r="I197" s="630"/>
      <c r="K197" s="633"/>
      <c r="M197" s="634"/>
      <c r="O197" s="769"/>
      <c r="Q197" s="627"/>
      <c r="R197" s="634"/>
      <c r="T197" s="624"/>
      <c r="W197" s="623"/>
      <c r="X197" s="623"/>
      <c r="Y197" s="633"/>
      <c r="Z197" s="624"/>
      <c r="AB197" s="630"/>
      <c r="AC197" s="630"/>
      <c r="AD197" s="630"/>
      <c r="AE197" s="630"/>
      <c r="AF197" s="630"/>
      <c r="AG197" s="630"/>
    </row>
    <row r="198" spans="1:33">
      <c r="A198" s="628"/>
      <c r="B198" s="628"/>
      <c r="C198" s="630"/>
      <c r="D198" s="628"/>
      <c r="E198" s="630"/>
      <c r="F198" s="629"/>
      <c r="G198" s="635"/>
      <c r="H198" s="624"/>
      <c r="I198" s="630"/>
      <c r="K198" s="633"/>
      <c r="M198" s="634"/>
      <c r="O198" s="769"/>
      <c r="Q198" s="627"/>
      <c r="R198" s="634"/>
      <c r="T198" s="624"/>
      <c r="W198" s="623"/>
      <c r="X198" s="623"/>
      <c r="Y198" s="633"/>
      <c r="Z198" s="624"/>
      <c r="AB198" s="630"/>
      <c r="AC198" s="630"/>
      <c r="AD198" s="630"/>
      <c r="AE198" s="630"/>
      <c r="AF198" s="630"/>
      <c r="AG198" s="630"/>
    </row>
    <row r="199" spans="1:33">
      <c r="A199" s="628"/>
      <c r="B199" s="628"/>
      <c r="C199" s="630"/>
      <c r="D199" s="628"/>
      <c r="E199" s="630"/>
      <c r="F199" s="629"/>
      <c r="G199" s="635"/>
      <c r="H199" s="624"/>
      <c r="I199" s="630"/>
      <c r="K199" s="633"/>
      <c r="M199" s="634"/>
      <c r="O199" s="769"/>
      <c r="Q199" s="627"/>
      <c r="R199" s="634"/>
      <c r="T199" s="624"/>
      <c r="W199" s="623"/>
      <c r="X199" s="623"/>
      <c r="Y199" s="633"/>
      <c r="Z199" s="624"/>
      <c r="AB199" s="630"/>
      <c r="AC199" s="630"/>
      <c r="AD199" s="630"/>
      <c r="AE199" s="630"/>
      <c r="AF199" s="630"/>
      <c r="AG199" s="630"/>
    </row>
    <row r="200" spans="1:33">
      <c r="A200" s="628"/>
      <c r="B200" s="628"/>
      <c r="C200" s="630"/>
      <c r="D200" s="628"/>
      <c r="E200" s="630"/>
      <c r="F200" s="629"/>
      <c r="G200" s="635"/>
      <c r="H200" s="624"/>
      <c r="I200" s="630"/>
      <c r="K200" s="633"/>
      <c r="M200" s="634"/>
      <c r="O200" s="769"/>
      <c r="Q200" s="627"/>
      <c r="R200" s="634"/>
      <c r="T200" s="624"/>
      <c r="W200" s="623"/>
      <c r="X200" s="623"/>
      <c r="Y200" s="633"/>
      <c r="Z200" s="624"/>
      <c r="AB200" s="630"/>
      <c r="AC200" s="630"/>
      <c r="AD200" s="630"/>
      <c r="AE200" s="630"/>
      <c r="AF200" s="630"/>
      <c r="AG200" s="630"/>
    </row>
    <row r="201" spans="1:33">
      <c r="A201" s="628"/>
      <c r="B201" s="628"/>
      <c r="C201" s="630"/>
      <c r="D201" s="628"/>
      <c r="E201" s="630"/>
      <c r="F201" s="629"/>
      <c r="G201" s="635"/>
      <c r="H201" s="624"/>
      <c r="I201" s="630"/>
      <c r="K201" s="633"/>
      <c r="M201" s="634"/>
      <c r="O201" s="769"/>
      <c r="Q201" s="627"/>
      <c r="R201" s="634"/>
      <c r="T201" s="624"/>
      <c r="W201" s="623"/>
      <c r="X201" s="623"/>
      <c r="Y201" s="633"/>
      <c r="Z201" s="624"/>
      <c r="AB201" s="630"/>
      <c r="AC201" s="630"/>
      <c r="AD201" s="630"/>
      <c r="AE201" s="630"/>
      <c r="AF201" s="630"/>
      <c r="AG201" s="630"/>
    </row>
    <row r="202" spans="1:33">
      <c r="A202" s="628"/>
      <c r="B202" s="628"/>
      <c r="C202" s="630"/>
      <c r="D202" s="628"/>
      <c r="E202" s="630"/>
      <c r="F202" s="629"/>
      <c r="G202" s="635"/>
      <c r="H202" s="624"/>
      <c r="I202" s="630"/>
      <c r="K202" s="633"/>
      <c r="M202" s="634"/>
      <c r="O202" s="769"/>
      <c r="Q202" s="627"/>
      <c r="R202" s="634"/>
      <c r="T202" s="624"/>
      <c r="W202" s="623"/>
      <c r="X202" s="623"/>
      <c r="Y202" s="633"/>
      <c r="Z202" s="624"/>
      <c r="AB202" s="630"/>
      <c r="AC202" s="630"/>
      <c r="AD202" s="630"/>
      <c r="AE202" s="630"/>
      <c r="AF202" s="630"/>
      <c r="AG202" s="630"/>
    </row>
    <row r="203" spans="1:33">
      <c r="A203" s="628"/>
      <c r="B203" s="628"/>
      <c r="C203" s="630"/>
      <c r="D203" s="628"/>
      <c r="E203" s="630"/>
      <c r="F203" s="629"/>
      <c r="G203" s="635"/>
      <c r="H203" s="624"/>
      <c r="I203" s="630"/>
      <c r="K203" s="633"/>
      <c r="M203" s="634"/>
      <c r="O203" s="769"/>
      <c r="Q203" s="627"/>
      <c r="R203" s="634"/>
      <c r="T203" s="624"/>
      <c r="W203" s="623"/>
      <c r="X203" s="623"/>
      <c r="Y203" s="633"/>
      <c r="Z203" s="624"/>
      <c r="AB203" s="630"/>
      <c r="AC203" s="630"/>
      <c r="AD203" s="630"/>
      <c r="AE203" s="630"/>
      <c r="AF203" s="630"/>
      <c r="AG203" s="630"/>
    </row>
    <row r="204" spans="1:33">
      <c r="A204" s="628"/>
      <c r="B204" s="628"/>
      <c r="C204" s="630"/>
      <c r="D204" s="628"/>
      <c r="E204" s="630"/>
      <c r="F204" s="629"/>
      <c r="G204" s="635"/>
      <c r="H204" s="624"/>
      <c r="I204" s="630"/>
      <c r="K204" s="633"/>
      <c r="M204" s="634"/>
      <c r="O204" s="769"/>
      <c r="Q204" s="627"/>
      <c r="R204" s="634"/>
      <c r="T204" s="624"/>
      <c r="W204" s="623"/>
      <c r="X204" s="623"/>
      <c r="Y204" s="633"/>
      <c r="Z204" s="624"/>
      <c r="AB204" s="630"/>
      <c r="AC204" s="630"/>
      <c r="AD204" s="630"/>
      <c r="AE204" s="630"/>
      <c r="AF204" s="630"/>
      <c r="AG204" s="630"/>
    </row>
    <row r="205" spans="1:33">
      <c r="A205" s="628"/>
      <c r="B205" s="628"/>
      <c r="C205" s="630"/>
      <c r="D205" s="628"/>
      <c r="E205" s="630"/>
      <c r="F205" s="629"/>
      <c r="G205" s="635"/>
      <c r="H205" s="624"/>
      <c r="I205" s="630"/>
      <c r="K205" s="633"/>
      <c r="M205" s="634"/>
      <c r="O205" s="769"/>
      <c r="Q205" s="627"/>
      <c r="R205" s="634"/>
      <c r="T205" s="624"/>
      <c r="W205" s="623"/>
      <c r="X205" s="623"/>
      <c r="Y205" s="633"/>
      <c r="Z205" s="624"/>
      <c r="AB205" s="630"/>
      <c r="AC205" s="630"/>
      <c r="AD205" s="630"/>
      <c r="AE205" s="630"/>
      <c r="AF205" s="630"/>
      <c r="AG205" s="630"/>
    </row>
    <row r="206" spans="1:33">
      <c r="A206" s="628"/>
      <c r="B206" s="628"/>
      <c r="C206" s="630"/>
      <c r="D206" s="628"/>
      <c r="E206" s="630"/>
      <c r="F206" s="629"/>
      <c r="G206" s="635"/>
      <c r="H206" s="624"/>
      <c r="I206" s="630"/>
      <c r="K206" s="633"/>
      <c r="M206" s="634"/>
      <c r="O206" s="769"/>
      <c r="Q206" s="627"/>
      <c r="R206" s="634"/>
      <c r="T206" s="624"/>
      <c r="W206" s="623"/>
      <c r="X206" s="623"/>
      <c r="Y206" s="633"/>
      <c r="Z206" s="624"/>
      <c r="AB206" s="630"/>
      <c r="AC206" s="630"/>
      <c r="AD206" s="630"/>
      <c r="AE206" s="630"/>
      <c r="AF206" s="630"/>
      <c r="AG206" s="630"/>
    </row>
    <row r="207" spans="1:33">
      <c r="A207" s="628"/>
      <c r="B207" s="628"/>
      <c r="C207" s="630"/>
      <c r="D207" s="628"/>
      <c r="E207" s="630"/>
      <c r="F207" s="629"/>
      <c r="G207" s="635"/>
      <c r="H207" s="624"/>
      <c r="I207" s="630"/>
      <c r="K207" s="633"/>
      <c r="M207" s="634"/>
      <c r="O207" s="769"/>
      <c r="Q207" s="627"/>
      <c r="R207" s="634"/>
      <c r="T207" s="624"/>
      <c r="W207" s="623"/>
      <c r="X207" s="623"/>
      <c r="Y207" s="633"/>
      <c r="Z207" s="624"/>
      <c r="AB207" s="630"/>
      <c r="AC207" s="630"/>
      <c r="AD207" s="630"/>
      <c r="AE207" s="630"/>
      <c r="AF207" s="630"/>
      <c r="AG207" s="630"/>
    </row>
    <row r="208" spans="1:33">
      <c r="A208" s="628"/>
      <c r="B208" s="628"/>
      <c r="C208" s="630"/>
      <c r="D208" s="628"/>
      <c r="E208" s="630"/>
      <c r="F208" s="629"/>
      <c r="G208" s="635"/>
      <c r="H208" s="624"/>
      <c r="I208" s="630"/>
      <c r="K208" s="633"/>
      <c r="M208" s="634"/>
      <c r="O208" s="769"/>
      <c r="Q208" s="627"/>
      <c r="R208" s="634"/>
      <c r="T208" s="624"/>
      <c r="W208" s="623"/>
      <c r="X208" s="623"/>
      <c r="Y208" s="633"/>
      <c r="Z208" s="624"/>
      <c r="AB208" s="630"/>
      <c r="AC208" s="630"/>
      <c r="AD208" s="630"/>
      <c r="AE208" s="630"/>
      <c r="AF208" s="630"/>
      <c r="AG208" s="630"/>
    </row>
    <row r="209" spans="1:33">
      <c r="A209" s="628"/>
      <c r="B209" s="628"/>
      <c r="C209" s="630"/>
      <c r="D209" s="628"/>
      <c r="E209" s="630"/>
      <c r="F209" s="629"/>
      <c r="G209" s="635"/>
      <c r="H209" s="624"/>
      <c r="I209" s="630"/>
      <c r="K209" s="633"/>
      <c r="M209" s="634"/>
      <c r="O209" s="769"/>
      <c r="Q209" s="627"/>
      <c r="R209" s="634"/>
      <c r="T209" s="624"/>
      <c r="W209" s="623"/>
      <c r="X209" s="623"/>
      <c r="Y209" s="633"/>
      <c r="Z209" s="624"/>
      <c r="AB209" s="630"/>
      <c r="AC209" s="630"/>
      <c r="AD209" s="630"/>
      <c r="AE209" s="630"/>
      <c r="AF209" s="630"/>
      <c r="AG209" s="630"/>
    </row>
    <row r="210" spans="1:33">
      <c r="A210" s="628"/>
      <c r="B210" s="628"/>
      <c r="C210" s="630"/>
      <c r="D210" s="628"/>
      <c r="E210" s="630"/>
      <c r="F210" s="629"/>
      <c r="G210" s="635"/>
      <c r="H210" s="624"/>
      <c r="I210" s="630"/>
      <c r="K210" s="633"/>
      <c r="M210" s="634"/>
      <c r="O210" s="769"/>
      <c r="Q210" s="627"/>
      <c r="R210" s="634"/>
      <c r="T210" s="624"/>
      <c r="W210" s="623"/>
      <c r="X210" s="623"/>
      <c r="Y210" s="633"/>
      <c r="Z210" s="624"/>
      <c r="AB210" s="630"/>
      <c r="AC210" s="630"/>
      <c r="AD210" s="630"/>
      <c r="AE210" s="630"/>
      <c r="AF210" s="630"/>
      <c r="AG210" s="630"/>
    </row>
    <row r="211" spans="1:33">
      <c r="A211" s="628"/>
      <c r="B211" s="628"/>
      <c r="C211" s="630"/>
      <c r="D211" s="628"/>
      <c r="E211" s="630"/>
      <c r="F211" s="629"/>
      <c r="G211" s="635"/>
      <c r="H211" s="624"/>
      <c r="I211" s="630"/>
      <c r="K211" s="633"/>
      <c r="M211" s="634"/>
      <c r="O211" s="769"/>
      <c r="Q211" s="627"/>
      <c r="R211" s="634"/>
      <c r="T211" s="624"/>
      <c r="W211" s="623"/>
      <c r="X211" s="623"/>
      <c r="Y211" s="633"/>
      <c r="Z211" s="624"/>
      <c r="AB211" s="630"/>
      <c r="AC211" s="630"/>
      <c r="AD211" s="630"/>
      <c r="AE211" s="630"/>
      <c r="AF211" s="630"/>
      <c r="AG211" s="630"/>
    </row>
    <row r="212" spans="1:33">
      <c r="A212" s="628"/>
      <c r="B212" s="628"/>
      <c r="C212" s="630"/>
      <c r="D212" s="628"/>
      <c r="E212" s="630"/>
      <c r="F212" s="629"/>
      <c r="G212" s="635"/>
      <c r="H212" s="624"/>
      <c r="I212" s="630"/>
      <c r="K212" s="633"/>
      <c r="M212" s="634"/>
      <c r="O212" s="769"/>
      <c r="Q212" s="627"/>
      <c r="R212" s="634"/>
      <c r="T212" s="624"/>
      <c r="W212" s="623"/>
      <c r="X212" s="623"/>
      <c r="Y212" s="633"/>
      <c r="Z212" s="624"/>
      <c r="AB212" s="630"/>
      <c r="AC212" s="630"/>
      <c r="AD212" s="630"/>
      <c r="AE212" s="630"/>
      <c r="AF212" s="630"/>
      <c r="AG212" s="630"/>
    </row>
    <row r="213" spans="1:33">
      <c r="A213" s="628"/>
      <c r="B213" s="628"/>
      <c r="C213" s="630"/>
      <c r="D213" s="628"/>
      <c r="E213" s="630"/>
      <c r="F213" s="629"/>
      <c r="G213" s="635"/>
      <c r="H213" s="624"/>
      <c r="I213" s="630"/>
      <c r="K213" s="633"/>
      <c r="M213" s="634"/>
      <c r="O213" s="769"/>
      <c r="Q213" s="627"/>
      <c r="R213" s="634"/>
      <c r="T213" s="624"/>
      <c r="W213" s="623"/>
      <c r="X213" s="623"/>
      <c r="Y213" s="633"/>
      <c r="Z213" s="624"/>
      <c r="AB213" s="630"/>
      <c r="AC213" s="630"/>
      <c r="AD213" s="630"/>
      <c r="AE213" s="630"/>
      <c r="AF213" s="630"/>
      <c r="AG213" s="630"/>
    </row>
    <row r="214" spans="1:33">
      <c r="A214" s="628"/>
      <c r="B214" s="628"/>
      <c r="C214" s="630"/>
      <c r="D214" s="628"/>
      <c r="E214" s="630"/>
      <c r="F214" s="629"/>
      <c r="G214" s="635"/>
      <c r="H214" s="624"/>
      <c r="I214" s="630"/>
      <c r="K214" s="633"/>
      <c r="M214" s="634"/>
      <c r="O214" s="769"/>
      <c r="Q214" s="627"/>
      <c r="R214" s="634"/>
      <c r="T214" s="624"/>
      <c r="W214" s="623"/>
      <c r="X214" s="623"/>
      <c r="Y214" s="633"/>
      <c r="Z214" s="624"/>
      <c r="AB214" s="630"/>
      <c r="AC214" s="630"/>
      <c r="AD214" s="630"/>
      <c r="AE214" s="630"/>
      <c r="AF214" s="630"/>
      <c r="AG214" s="630"/>
    </row>
    <row r="215" spans="1:33">
      <c r="A215" s="628"/>
      <c r="B215" s="628"/>
      <c r="C215" s="630"/>
      <c r="D215" s="628"/>
      <c r="E215" s="630"/>
      <c r="F215" s="629"/>
      <c r="G215" s="635"/>
      <c r="H215" s="624"/>
      <c r="I215" s="630"/>
      <c r="K215" s="633"/>
      <c r="M215" s="634"/>
      <c r="O215" s="769"/>
      <c r="Q215" s="627"/>
      <c r="R215" s="634"/>
      <c r="T215" s="624"/>
      <c r="W215" s="623"/>
      <c r="X215" s="623"/>
      <c r="Y215" s="633"/>
      <c r="Z215" s="624"/>
      <c r="AB215" s="630"/>
      <c r="AC215" s="630"/>
      <c r="AD215" s="630"/>
      <c r="AE215" s="630"/>
      <c r="AF215" s="630"/>
      <c r="AG215" s="630"/>
    </row>
    <row r="216" spans="1:33">
      <c r="A216" s="628"/>
      <c r="B216" s="628"/>
      <c r="C216" s="630"/>
      <c r="D216" s="628"/>
      <c r="E216" s="630"/>
      <c r="F216" s="629"/>
      <c r="G216" s="635"/>
      <c r="H216" s="624"/>
      <c r="I216" s="630"/>
      <c r="K216" s="633"/>
      <c r="M216" s="634"/>
      <c r="O216" s="769"/>
      <c r="Q216" s="627"/>
      <c r="R216" s="634"/>
      <c r="T216" s="624"/>
      <c r="W216" s="623"/>
      <c r="X216" s="623"/>
      <c r="Y216" s="633"/>
      <c r="Z216" s="624"/>
      <c r="AB216" s="630"/>
      <c r="AC216" s="630"/>
      <c r="AD216" s="630"/>
      <c r="AE216" s="630"/>
      <c r="AF216" s="630"/>
      <c r="AG216" s="630"/>
    </row>
    <row r="217" spans="1:33">
      <c r="A217" s="628"/>
      <c r="B217" s="628"/>
      <c r="C217" s="630"/>
      <c r="D217" s="628"/>
      <c r="E217" s="630"/>
      <c r="F217" s="629"/>
      <c r="G217" s="635"/>
      <c r="H217" s="624"/>
      <c r="I217" s="630"/>
      <c r="K217" s="633"/>
      <c r="M217" s="634"/>
      <c r="O217" s="769"/>
      <c r="Q217" s="627"/>
      <c r="R217" s="634"/>
      <c r="T217" s="624"/>
      <c r="W217" s="623"/>
      <c r="X217" s="623"/>
      <c r="Y217" s="633"/>
      <c r="Z217" s="624"/>
      <c r="AB217" s="630"/>
      <c r="AC217" s="630"/>
      <c r="AD217" s="630"/>
      <c r="AE217" s="630"/>
      <c r="AF217" s="630"/>
      <c r="AG217" s="630"/>
    </row>
    <row r="218" spans="1:33">
      <c r="A218" s="628"/>
      <c r="B218" s="628"/>
      <c r="C218" s="630"/>
      <c r="D218" s="628"/>
      <c r="E218" s="630"/>
      <c r="F218" s="629"/>
      <c r="G218" s="635"/>
      <c r="H218" s="624"/>
      <c r="I218" s="630"/>
      <c r="K218" s="633"/>
      <c r="M218" s="634"/>
      <c r="O218" s="769"/>
      <c r="Q218" s="627"/>
      <c r="R218" s="634"/>
      <c r="T218" s="624"/>
      <c r="W218" s="623"/>
      <c r="X218" s="623"/>
      <c r="Y218" s="633"/>
      <c r="Z218" s="624"/>
      <c r="AB218" s="630"/>
      <c r="AC218" s="630"/>
      <c r="AD218" s="630"/>
      <c r="AE218" s="630"/>
      <c r="AF218" s="630"/>
      <c r="AG218" s="630"/>
    </row>
    <row r="219" spans="1:33">
      <c r="A219" s="628"/>
      <c r="B219" s="628"/>
      <c r="C219" s="630"/>
      <c r="D219" s="628"/>
      <c r="E219" s="630"/>
      <c r="F219" s="629"/>
      <c r="G219" s="635"/>
      <c r="H219" s="624"/>
      <c r="I219" s="630"/>
      <c r="K219" s="633"/>
      <c r="M219" s="634"/>
      <c r="O219" s="769"/>
      <c r="Q219" s="627"/>
      <c r="R219" s="634"/>
      <c r="T219" s="624"/>
      <c r="W219" s="623"/>
      <c r="X219" s="623"/>
      <c r="Y219" s="633"/>
      <c r="Z219" s="624"/>
      <c r="AB219" s="630"/>
      <c r="AC219" s="630"/>
      <c r="AD219" s="630"/>
      <c r="AE219" s="630"/>
      <c r="AF219" s="630"/>
      <c r="AG219" s="630"/>
    </row>
    <row r="220" spans="1:33">
      <c r="A220" s="628"/>
      <c r="B220" s="628"/>
      <c r="C220" s="630"/>
      <c r="D220" s="628"/>
      <c r="E220" s="630"/>
      <c r="F220" s="629"/>
      <c r="G220" s="635"/>
      <c r="H220" s="624"/>
      <c r="I220" s="630"/>
      <c r="K220" s="633"/>
      <c r="M220" s="634"/>
      <c r="O220" s="769"/>
      <c r="Q220" s="627"/>
      <c r="R220" s="634"/>
      <c r="T220" s="624"/>
      <c r="W220" s="623"/>
      <c r="X220" s="623"/>
      <c r="Y220" s="633"/>
      <c r="Z220" s="624"/>
      <c r="AB220" s="630"/>
      <c r="AC220" s="630"/>
      <c r="AD220" s="630"/>
      <c r="AE220" s="630"/>
      <c r="AF220" s="630"/>
      <c r="AG220" s="630"/>
    </row>
    <row r="221" spans="1:33">
      <c r="A221" s="628"/>
      <c r="B221" s="628"/>
      <c r="C221" s="630"/>
      <c r="D221" s="628"/>
      <c r="E221" s="630"/>
      <c r="F221" s="629"/>
      <c r="G221" s="635"/>
      <c r="H221" s="624"/>
      <c r="I221" s="630"/>
      <c r="K221" s="633"/>
      <c r="M221" s="634"/>
      <c r="O221" s="769"/>
      <c r="Q221" s="627"/>
      <c r="R221" s="634"/>
      <c r="T221" s="624"/>
      <c r="W221" s="623"/>
      <c r="X221" s="623"/>
      <c r="Y221" s="633"/>
      <c r="Z221" s="624"/>
      <c r="AB221" s="630"/>
      <c r="AC221" s="630"/>
      <c r="AD221" s="630"/>
      <c r="AE221" s="630"/>
      <c r="AF221" s="630"/>
      <c r="AG221" s="630"/>
    </row>
    <row r="222" spans="1:33">
      <c r="A222" s="628"/>
      <c r="B222" s="628"/>
      <c r="C222" s="630"/>
      <c r="D222" s="628"/>
      <c r="E222" s="630"/>
      <c r="F222" s="629"/>
      <c r="G222" s="635"/>
      <c r="H222" s="624"/>
      <c r="I222" s="630"/>
      <c r="K222" s="633"/>
      <c r="M222" s="634"/>
      <c r="O222" s="769"/>
      <c r="Q222" s="627"/>
      <c r="R222" s="634"/>
      <c r="T222" s="624"/>
      <c r="W222" s="623"/>
      <c r="X222" s="623"/>
      <c r="Y222" s="633"/>
      <c r="Z222" s="624"/>
      <c r="AB222" s="630"/>
      <c r="AC222" s="630"/>
      <c r="AD222" s="630"/>
      <c r="AE222" s="630"/>
      <c r="AF222" s="630"/>
      <c r="AG222" s="630"/>
    </row>
    <row r="223" spans="1:33">
      <c r="A223" s="628"/>
      <c r="B223" s="628"/>
      <c r="C223" s="630"/>
      <c r="D223" s="628"/>
      <c r="E223" s="630"/>
      <c r="F223" s="629"/>
      <c r="G223" s="635"/>
      <c r="H223" s="624"/>
      <c r="I223" s="630"/>
      <c r="K223" s="633"/>
      <c r="M223" s="634"/>
      <c r="O223" s="769"/>
      <c r="Q223" s="627"/>
      <c r="R223" s="634"/>
      <c r="T223" s="624"/>
      <c r="W223" s="623"/>
      <c r="X223" s="623"/>
      <c r="Y223" s="633"/>
      <c r="Z223" s="624"/>
      <c r="AB223" s="630"/>
      <c r="AC223" s="630"/>
      <c r="AD223" s="630"/>
      <c r="AE223" s="630"/>
      <c r="AF223" s="630"/>
      <c r="AG223" s="630"/>
    </row>
    <row r="224" spans="1:33">
      <c r="A224" s="628"/>
      <c r="B224" s="628"/>
      <c r="C224" s="630"/>
      <c r="D224" s="628"/>
      <c r="E224" s="630"/>
      <c r="F224" s="629"/>
      <c r="G224" s="635"/>
      <c r="H224" s="624"/>
      <c r="I224" s="630"/>
      <c r="K224" s="633"/>
      <c r="M224" s="634"/>
      <c r="O224" s="769"/>
      <c r="Q224" s="627"/>
      <c r="R224" s="634"/>
      <c r="T224" s="624"/>
      <c r="W224" s="623"/>
      <c r="X224" s="623"/>
      <c r="Y224" s="633"/>
      <c r="Z224" s="624"/>
      <c r="AB224" s="630"/>
      <c r="AC224" s="630"/>
      <c r="AD224" s="630"/>
      <c r="AE224" s="630"/>
      <c r="AF224" s="630"/>
      <c r="AG224" s="630"/>
    </row>
    <row r="225" spans="1:33">
      <c r="A225" s="628"/>
      <c r="B225" s="628"/>
      <c r="C225" s="630"/>
      <c r="D225" s="628"/>
      <c r="E225" s="630"/>
      <c r="F225" s="629"/>
      <c r="G225" s="635"/>
      <c r="H225" s="624"/>
      <c r="I225" s="630"/>
      <c r="K225" s="633"/>
      <c r="M225" s="634"/>
      <c r="O225" s="769"/>
      <c r="Q225" s="627"/>
      <c r="R225" s="634"/>
      <c r="T225" s="624"/>
      <c r="W225" s="623"/>
      <c r="X225" s="623"/>
      <c r="Y225" s="633"/>
      <c r="Z225" s="624"/>
      <c r="AB225" s="630"/>
      <c r="AC225" s="630"/>
      <c r="AD225" s="630"/>
      <c r="AE225" s="630"/>
      <c r="AF225" s="630"/>
      <c r="AG225" s="630"/>
    </row>
    <row r="226" spans="1:33">
      <c r="A226" s="628"/>
      <c r="B226" s="628"/>
      <c r="C226" s="630"/>
      <c r="D226" s="628"/>
      <c r="E226" s="630"/>
      <c r="F226" s="629"/>
      <c r="G226" s="635"/>
      <c r="H226" s="624"/>
      <c r="I226" s="630"/>
      <c r="K226" s="633"/>
      <c r="M226" s="634"/>
      <c r="O226" s="769"/>
      <c r="Q226" s="627"/>
      <c r="R226" s="634"/>
      <c r="T226" s="624"/>
      <c r="W226" s="623"/>
      <c r="X226" s="623"/>
      <c r="Y226" s="633"/>
      <c r="Z226" s="624"/>
      <c r="AB226" s="630"/>
      <c r="AC226" s="630"/>
      <c r="AD226" s="630"/>
      <c r="AE226" s="630"/>
      <c r="AF226" s="630"/>
      <c r="AG226" s="630"/>
    </row>
    <row r="227" spans="1:33">
      <c r="A227" s="628"/>
      <c r="B227" s="628"/>
      <c r="C227" s="630"/>
      <c r="D227" s="628"/>
      <c r="E227" s="630"/>
      <c r="F227" s="629"/>
      <c r="G227" s="635"/>
      <c r="H227" s="624"/>
      <c r="I227" s="630"/>
      <c r="K227" s="633"/>
      <c r="M227" s="634"/>
      <c r="O227" s="769"/>
      <c r="Q227" s="627"/>
      <c r="R227" s="634"/>
      <c r="T227" s="624"/>
      <c r="W227" s="623"/>
      <c r="X227" s="623"/>
      <c r="Y227" s="633"/>
      <c r="Z227" s="624"/>
      <c r="AB227" s="630"/>
      <c r="AC227" s="630"/>
      <c r="AD227" s="630"/>
      <c r="AE227" s="630"/>
      <c r="AF227" s="630"/>
      <c r="AG227" s="630"/>
    </row>
    <row r="228" spans="1:33">
      <c r="A228" s="628"/>
      <c r="B228" s="628"/>
      <c r="C228" s="630"/>
      <c r="D228" s="628"/>
      <c r="E228" s="630"/>
      <c r="F228" s="629"/>
      <c r="G228" s="635"/>
      <c r="H228" s="624"/>
      <c r="I228" s="630"/>
      <c r="K228" s="633"/>
      <c r="M228" s="634"/>
      <c r="O228" s="769"/>
      <c r="Q228" s="627"/>
      <c r="R228" s="634"/>
      <c r="T228" s="624"/>
      <c r="W228" s="623"/>
      <c r="X228" s="623"/>
      <c r="Y228" s="633"/>
      <c r="Z228" s="624"/>
      <c r="AB228" s="630"/>
      <c r="AC228" s="630"/>
      <c r="AD228" s="630"/>
      <c r="AE228" s="630"/>
      <c r="AF228" s="630"/>
      <c r="AG228" s="630"/>
    </row>
    <row r="229" spans="1:33">
      <c r="A229" s="628"/>
      <c r="B229" s="628"/>
      <c r="C229" s="630"/>
      <c r="D229" s="628"/>
      <c r="E229" s="630"/>
      <c r="F229" s="629"/>
      <c r="G229" s="635"/>
      <c r="H229" s="624"/>
      <c r="I229" s="630"/>
      <c r="K229" s="633"/>
      <c r="M229" s="634"/>
      <c r="O229" s="769"/>
      <c r="Q229" s="627"/>
      <c r="R229" s="634"/>
      <c r="T229" s="624"/>
      <c r="W229" s="623"/>
      <c r="X229" s="623"/>
      <c r="Y229" s="633"/>
      <c r="Z229" s="624"/>
      <c r="AB229" s="630"/>
      <c r="AC229" s="630"/>
      <c r="AD229" s="630"/>
      <c r="AE229" s="630"/>
      <c r="AF229" s="630"/>
      <c r="AG229" s="630"/>
    </row>
    <row r="230" spans="1:33">
      <c r="A230" s="628"/>
      <c r="B230" s="628"/>
      <c r="C230" s="630"/>
      <c r="D230" s="628"/>
      <c r="E230" s="630"/>
      <c r="F230" s="629"/>
      <c r="G230" s="635"/>
      <c r="H230" s="624"/>
      <c r="I230" s="630"/>
      <c r="K230" s="633"/>
      <c r="M230" s="634"/>
      <c r="O230" s="769"/>
      <c r="Q230" s="627"/>
      <c r="R230" s="634"/>
      <c r="T230" s="624"/>
      <c r="W230" s="623"/>
      <c r="X230" s="623"/>
      <c r="Y230" s="633"/>
      <c r="Z230" s="624"/>
      <c r="AB230" s="630"/>
      <c r="AC230" s="630"/>
      <c r="AD230" s="630"/>
      <c r="AE230" s="630"/>
      <c r="AF230" s="630"/>
      <c r="AG230" s="630"/>
    </row>
    <row r="231" spans="1:33">
      <c r="A231" s="628"/>
      <c r="B231" s="628"/>
      <c r="C231" s="630"/>
      <c r="D231" s="628"/>
      <c r="E231" s="630"/>
      <c r="F231" s="629"/>
      <c r="G231" s="635"/>
      <c r="H231" s="624"/>
      <c r="I231" s="630"/>
      <c r="K231" s="633"/>
      <c r="M231" s="634"/>
      <c r="O231" s="769"/>
      <c r="Q231" s="627"/>
      <c r="R231" s="634"/>
      <c r="T231" s="624"/>
      <c r="W231" s="623"/>
      <c r="X231" s="623"/>
      <c r="Y231" s="633"/>
      <c r="Z231" s="624"/>
      <c r="AB231" s="630"/>
      <c r="AC231" s="630"/>
      <c r="AD231" s="630"/>
      <c r="AE231" s="630"/>
      <c r="AF231" s="630"/>
      <c r="AG231" s="630"/>
    </row>
    <row r="232" spans="1:33">
      <c r="A232" s="628"/>
      <c r="B232" s="628"/>
      <c r="C232" s="630"/>
      <c r="D232" s="628"/>
      <c r="E232" s="630"/>
      <c r="F232" s="629"/>
      <c r="G232" s="635"/>
      <c r="H232" s="624"/>
      <c r="I232" s="630"/>
      <c r="K232" s="633"/>
      <c r="M232" s="634"/>
      <c r="O232" s="769"/>
      <c r="Q232" s="627"/>
      <c r="R232" s="634"/>
      <c r="T232" s="624"/>
      <c r="W232" s="623"/>
      <c r="X232" s="623"/>
      <c r="Y232" s="633"/>
      <c r="Z232" s="624"/>
      <c r="AB232" s="630"/>
      <c r="AC232" s="630"/>
      <c r="AD232" s="630"/>
      <c r="AE232" s="630"/>
      <c r="AF232" s="630"/>
      <c r="AG232" s="630"/>
    </row>
    <row r="233" spans="1:33">
      <c r="A233" s="628"/>
      <c r="B233" s="628"/>
      <c r="C233" s="630"/>
      <c r="D233" s="628"/>
      <c r="E233" s="630"/>
      <c r="F233" s="629"/>
      <c r="G233" s="635"/>
      <c r="H233" s="624"/>
      <c r="I233" s="630"/>
      <c r="K233" s="633"/>
      <c r="M233" s="634"/>
      <c r="O233" s="769"/>
      <c r="Q233" s="627"/>
      <c r="R233" s="634"/>
      <c r="T233" s="624"/>
      <c r="W233" s="623"/>
      <c r="X233" s="623"/>
      <c r="Y233" s="633"/>
      <c r="Z233" s="624"/>
      <c r="AB233" s="630"/>
      <c r="AC233" s="630"/>
      <c r="AD233" s="630"/>
      <c r="AE233" s="630"/>
      <c r="AF233" s="630"/>
      <c r="AG233" s="630"/>
    </row>
    <row r="234" spans="1:33">
      <c r="A234" s="628"/>
      <c r="B234" s="628"/>
      <c r="C234" s="630"/>
      <c r="D234" s="628"/>
      <c r="E234" s="630"/>
      <c r="F234" s="629"/>
      <c r="G234" s="635"/>
      <c r="H234" s="624"/>
      <c r="I234" s="630"/>
      <c r="K234" s="633"/>
      <c r="M234" s="634"/>
      <c r="O234" s="769"/>
      <c r="Q234" s="627"/>
      <c r="R234" s="634"/>
      <c r="T234" s="624"/>
      <c r="W234" s="623"/>
      <c r="X234" s="623"/>
      <c r="Y234" s="633"/>
      <c r="Z234" s="624"/>
      <c r="AB234" s="630"/>
      <c r="AC234" s="630"/>
      <c r="AD234" s="630"/>
      <c r="AE234" s="630"/>
      <c r="AF234" s="630"/>
      <c r="AG234" s="630"/>
    </row>
    <row r="235" spans="1:33">
      <c r="A235" s="628"/>
      <c r="B235" s="628"/>
      <c r="C235" s="630"/>
      <c r="D235" s="628"/>
      <c r="E235" s="630"/>
      <c r="F235" s="629"/>
      <c r="G235" s="635"/>
      <c r="H235" s="624"/>
      <c r="I235" s="630"/>
      <c r="K235" s="633"/>
      <c r="M235" s="634"/>
      <c r="O235" s="769"/>
      <c r="Q235" s="627"/>
      <c r="R235" s="634"/>
      <c r="T235" s="624"/>
      <c r="W235" s="623"/>
      <c r="X235" s="623"/>
      <c r="Y235" s="633"/>
      <c r="Z235" s="624"/>
      <c r="AB235" s="630"/>
      <c r="AC235" s="630"/>
      <c r="AD235" s="630"/>
      <c r="AE235" s="630"/>
      <c r="AF235" s="630"/>
      <c r="AG235" s="630"/>
    </row>
    <row r="236" spans="1:33">
      <c r="A236" s="628"/>
      <c r="B236" s="628"/>
      <c r="C236" s="630"/>
      <c r="D236" s="628"/>
      <c r="E236" s="630"/>
      <c r="F236" s="629"/>
      <c r="G236" s="635"/>
      <c r="H236" s="624"/>
      <c r="I236" s="630"/>
      <c r="K236" s="633"/>
      <c r="M236" s="634"/>
      <c r="O236" s="769"/>
      <c r="Q236" s="627"/>
      <c r="R236" s="634"/>
      <c r="T236" s="624"/>
      <c r="W236" s="623"/>
      <c r="X236" s="623"/>
      <c r="Y236" s="633"/>
      <c r="Z236" s="624"/>
      <c r="AB236" s="630"/>
      <c r="AC236" s="630"/>
      <c r="AD236" s="630"/>
      <c r="AE236" s="630"/>
      <c r="AF236" s="630"/>
      <c r="AG236" s="630"/>
    </row>
    <row r="237" spans="1:33">
      <c r="A237" s="628"/>
      <c r="B237" s="628"/>
      <c r="C237" s="630"/>
      <c r="D237" s="628"/>
      <c r="E237" s="630"/>
      <c r="F237" s="629"/>
      <c r="G237" s="635"/>
      <c r="H237" s="624"/>
      <c r="I237" s="630"/>
      <c r="K237" s="633"/>
      <c r="M237" s="634"/>
      <c r="O237" s="769"/>
      <c r="Q237" s="627"/>
      <c r="R237" s="634"/>
      <c r="T237" s="624"/>
      <c r="W237" s="623"/>
      <c r="X237" s="623"/>
      <c r="Y237" s="633"/>
      <c r="Z237" s="624"/>
      <c r="AB237" s="630"/>
      <c r="AC237" s="630"/>
      <c r="AD237" s="630"/>
      <c r="AE237" s="630"/>
      <c r="AF237" s="630"/>
      <c r="AG237" s="630"/>
    </row>
    <row r="238" spans="1:33">
      <c r="A238" s="628"/>
      <c r="B238" s="628"/>
      <c r="C238" s="630"/>
      <c r="D238" s="628"/>
      <c r="E238" s="630"/>
      <c r="F238" s="629"/>
      <c r="G238" s="635"/>
      <c r="H238" s="624"/>
      <c r="I238" s="630"/>
      <c r="K238" s="633"/>
      <c r="M238" s="634"/>
      <c r="O238" s="769"/>
      <c r="Q238" s="627"/>
      <c r="R238" s="634"/>
      <c r="T238" s="624"/>
      <c r="W238" s="623"/>
      <c r="X238" s="623"/>
      <c r="Y238" s="633"/>
      <c r="Z238" s="624"/>
      <c r="AB238" s="630"/>
      <c r="AC238" s="630"/>
      <c r="AD238" s="630"/>
      <c r="AE238" s="630"/>
      <c r="AF238" s="630"/>
      <c r="AG238" s="630"/>
    </row>
    <row r="239" spans="1:33">
      <c r="A239" s="628"/>
      <c r="B239" s="628"/>
      <c r="C239" s="630"/>
      <c r="D239" s="628"/>
      <c r="E239" s="630"/>
      <c r="F239" s="629"/>
      <c r="G239" s="635"/>
      <c r="H239" s="624"/>
      <c r="I239" s="630"/>
      <c r="K239" s="633"/>
      <c r="M239" s="634"/>
      <c r="O239" s="769"/>
      <c r="Q239" s="627"/>
      <c r="R239" s="634"/>
      <c r="T239" s="624"/>
      <c r="W239" s="623"/>
      <c r="X239" s="623"/>
      <c r="Y239" s="633"/>
      <c r="Z239" s="624"/>
      <c r="AB239" s="630"/>
      <c r="AC239" s="630"/>
      <c r="AD239" s="630"/>
      <c r="AE239" s="630"/>
      <c r="AF239" s="630"/>
      <c r="AG239" s="630"/>
    </row>
    <row r="240" spans="1:33">
      <c r="A240" s="628"/>
      <c r="B240" s="628"/>
      <c r="C240" s="630"/>
      <c r="D240" s="628"/>
      <c r="E240" s="630"/>
      <c r="F240" s="629"/>
      <c r="G240" s="635"/>
      <c r="H240" s="624"/>
      <c r="I240" s="630"/>
      <c r="K240" s="633"/>
      <c r="M240" s="634"/>
      <c r="O240" s="769"/>
      <c r="Q240" s="627"/>
      <c r="R240" s="634"/>
      <c r="T240" s="624"/>
      <c r="W240" s="623"/>
      <c r="X240" s="623"/>
      <c r="Y240" s="633"/>
      <c r="Z240" s="624"/>
      <c r="AB240" s="630"/>
      <c r="AC240" s="630"/>
      <c r="AD240" s="630"/>
      <c r="AE240" s="630"/>
      <c r="AF240" s="630"/>
      <c r="AG240" s="630"/>
    </row>
    <row r="241" spans="1:33">
      <c r="A241" s="628"/>
      <c r="B241" s="628"/>
      <c r="C241" s="630"/>
      <c r="D241" s="628"/>
      <c r="E241" s="630"/>
      <c r="F241" s="629"/>
      <c r="G241" s="635"/>
      <c r="H241" s="624"/>
      <c r="I241" s="630"/>
      <c r="K241" s="633"/>
      <c r="M241" s="634"/>
      <c r="O241" s="769"/>
      <c r="Q241" s="627"/>
      <c r="R241" s="634"/>
      <c r="T241" s="624"/>
      <c r="W241" s="623"/>
      <c r="X241" s="623"/>
      <c r="Y241" s="633"/>
      <c r="Z241" s="624"/>
      <c r="AB241" s="630"/>
      <c r="AC241" s="630"/>
      <c r="AD241" s="630"/>
      <c r="AE241" s="630"/>
      <c r="AF241" s="630"/>
      <c r="AG241" s="630"/>
    </row>
    <row r="242" spans="1:33">
      <c r="A242" s="628"/>
      <c r="B242" s="628"/>
      <c r="C242" s="630"/>
      <c r="D242" s="628"/>
      <c r="E242" s="630"/>
      <c r="F242" s="629"/>
      <c r="G242" s="635"/>
      <c r="H242" s="624"/>
      <c r="I242" s="630"/>
      <c r="K242" s="633"/>
      <c r="M242" s="634"/>
      <c r="O242" s="769"/>
      <c r="Q242" s="627"/>
      <c r="R242" s="634"/>
      <c r="T242" s="624"/>
      <c r="W242" s="623"/>
      <c r="X242" s="623"/>
      <c r="Y242" s="633"/>
      <c r="Z242" s="624"/>
      <c r="AB242" s="630"/>
      <c r="AC242" s="630"/>
      <c r="AD242" s="630"/>
      <c r="AE242" s="630"/>
      <c r="AF242" s="630"/>
      <c r="AG242" s="630"/>
    </row>
    <row r="243" spans="1:33">
      <c r="A243" s="628"/>
      <c r="B243" s="628"/>
      <c r="C243" s="630"/>
      <c r="D243" s="628"/>
      <c r="E243" s="630"/>
      <c r="F243" s="629"/>
      <c r="G243" s="635"/>
      <c r="H243" s="624"/>
      <c r="I243" s="630"/>
      <c r="K243" s="633"/>
      <c r="M243" s="634"/>
      <c r="O243" s="769"/>
      <c r="Q243" s="627"/>
      <c r="R243" s="634"/>
      <c r="T243" s="624"/>
      <c r="W243" s="623"/>
      <c r="X243" s="623"/>
      <c r="Y243" s="633"/>
      <c r="Z243" s="624"/>
      <c r="AB243" s="630"/>
      <c r="AC243" s="630"/>
      <c r="AD243" s="630"/>
      <c r="AE243" s="630"/>
      <c r="AF243" s="630"/>
      <c r="AG243" s="630"/>
    </row>
    <row r="244" spans="1:33">
      <c r="A244" s="628"/>
      <c r="B244" s="628"/>
      <c r="C244" s="630"/>
      <c r="D244" s="628"/>
      <c r="E244" s="630"/>
      <c r="F244" s="629"/>
      <c r="G244" s="635"/>
      <c r="H244" s="624"/>
      <c r="I244" s="630"/>
      <c r="K244" s="633"/>
      <c r="M244" s="634"/>
      <c r="O244" s="769"/>
      <c r="Q244" s="627"/>
      <c r="R244" s="634"/>
      <c r="T244" s="624"/>
      <c r="W244" s="623"/>
      <c r="X244" s="623"/>
      <c r="Y244" s="633"/>
      <c r="Z244" s="624"/>
      <c r="AB244" s="630"/>
      <c r="AC244" s="630"/>
      <c r="AD244" s="630"/>
      <c r="AE244" s="630"/>
      <c r="AF244" s="630"/>
      <c r="AG244" s="630"/>
    </row>
    <row r="245" spans="1:33">
      <c r="A245" s="628"/>
      <c r="B245" s="628"/>
      <c r="C245" s="630"/>
      <c r="D245" s="628"/>
      <c r="E245" s="630"/>
      <c r="F245" s="629"/>
      <c r="G245" s="635"/>
      <c r="H245" s="624"/>
      <c r="I245" s="630"/>
      <c r="K245" s="633"/>
      <c r="M245" s="634"/>
      <c r="O245" s="769"/>
      <c r="Q245" s="627"/>
      <c r="R245" s="634"/>
      <c r="T245" s="624"/>
      <c r="W245" s="623"/>
      <c r="X245" s="623"/>
      <c r="Y245" s="633"/>
      <c r="Z245" s="624"/>
      <c r="AB245" s="630"/>
      <c r="AC245" s="630"/>
      <c r="AD245" s="630"/>
      <c r="AE245" s="630"/>
      <c r="AF245" s="630"/>
      <c r="AG245" s="630"/>
    </row>
    <row r="246" spans="1:33">
      <c r="A246" s="628"/>
      <c r="B246" s="628"/>
      <c r="C246" s="630"/>
      <c r="D246" s="628"/>
      <c r="E246" s="630"/>
      <c r="F246" s="629"/>
      <c r="G246" s="635"/>
      <c r="H246" s="624"/>
      <c r="I246" s="630"/>
      <c r="K246" s="633"/>
      <c r="M246" s="634"/>
      <c r="O246" s="769"/>
      <c r="Q246" s="627"/>
      <c r="R246" s="634"/>
      <c r="T246" s="624"/>
      <c r="W246" s="623"/>
      <c r="X246" s="623"/>
      <c r="Y246" s="633"/>
      <c r="Z246" s="624"/>
      <c r="AB246" s="630"/>
      <c r="AC246" s="630"/>
      <c r="AD246" s="630"/>
      <c r="AE246" s="630"/>
      <c r="AF246" s="630"/>
      <c r="AG246" s="630"/>
    </row>
    <row r="247" spans="1:33">
      <c r="A247" s="628"/>
      <c r="B247" s="628"/>
      <c r="C247" s="630"/>
      <c r="D247" s="628"/>
      <c r="E247" s="630"/>
      <c r="F247" s="629"/>
      <c r="G247" s="635"/>
      <c r="H247" s="624"/>
      <c r="I247" s="630"/>
      <c r="K247" s="633"/>
      <c r="M247" s="634"/>
      <c r="O247" s="769"/>
      <c r="Q247" s="627"/>
      <c r="R247" s="634"/>
      <c r="T247" s="624"/>
      <c r="W247" s="623"/>
      <c r="X247" s="623"/>
      <c r="Y247" s="633"/>
      <c r="Z247" s="624"/>
      <c r="AB247" s="630"/>
      <c r="AC247" s="630"/>
      <c r="AD247" s="630"/>
      <c r="AE247" s="630"/>
      <c r="AF247" s="630"/>
      <c r="AG247" s="630"/>
    </row>
    <row r="248" spans="1:33">
      <c r="A248" s="628"/>
      <c r="B248" s="628"/>
      <c r="C248" s="630"/>
      <c r="D248" s="628"/>
      <c r="E248" s="630"/>
      <c r="F248" s="629"/>
      <c r="G248" s="635"/>
      <c r="H248" s="624"/>
      <c r="I248" s="630"/>
      <c r="K248" s="633"/>
      <c r="M248" s="634"/>
      <c r="O248" s="769"/>
      <c r="Q248" s="627"/>
      <c r="R248" s="634"/>
      <c r="T248" s="624"/>
      <c r="W248" s="623"/>
      <c r="X248" s="623"/>
      <c r="Y248" s="633"/>
      <c r="Z248" s="624"/>
      <c r="AB248" s="630"/>
      <c r="AC248" s="630"/>
      <c r="AD248" s="630"/>
      <c r="AE248" s="630"/>
      <c r="AF248" s="630"/>
      <c r="AG248" s="630"/>
    </row>
    <row r="249" spans="1:33">
      <c r="A249" s="628"/>
      <c r="B249" s="628"/>
      <c r="C249" s="630"/>
      <c r="D249" s="628"/>
      <c r="E249" s="630"/>
      <c r="F249" s="629"/>
      <c r="G249" s="635"/>
      <c r="H249" s="624"/>
      <c r="I249" s="630"/>
      <c r="K249" s="633"/>
      <c r="M249" s="634"/>
      <c r="O249" s="769"/>
      <c r="Q249" s="627"/>
      <c r="R249" s="634"/>
      <c r="T249" s="624"/>
      <c r="W249" s="623"/>
      <c r="X249" s="623"/>
      <c r="Y249" s="633"/>
      <c r="Z249" s="624"/>
      <c r="AB249" s="630"/>
      <c r="AC249" s="630"/>
      <c r="AD249" s="630"/>
      <c r="AE249" s="630"/>
      <c r="AF249" s="630"/>
      <c r="AG249" s="630"/>
    </row>
    <row r="250" spans="1:33">
      <c r="A250" s="628"/>
      <c r="B250" s="628"/>
      <c r="C250" s="630"/>
      <c r="D250" s="628"/>
      <c r="E250" s="630"/>
      <c r="F250" s="629"/>
      <c r="G250" s="635"/>
      <c r="H250" s="624"/>
      <c r="I250" s="630"/>
      <c r="K250" s="633"/>
      <c r="M250" s="634"/>
      <c r="O250" s="769"/>
      <c r="Q250" s="627"/>
      <c r="R250" s="634"/>
      <c r="T250" s="624"/>
      <c r="W250" s="623"/>
      <c r="X250" s="623"/>
      <c r="Y250" s="633"/>
      <c r="Z250" s="624"/>
      <c r="AB250" s="630"/>
      <c r="AC250" s="630"/>
      <c r="AD250" s="630"/>
      <c r="AE250" s="630"/>
      <c r="AF250" s="630"/>
      <c r="AG250" s="630"/>
    </row>
    <row r="251" spans="1:33">
      <c r="A251" s="628"/>
      <c r="B251" s="628"/>
      <c r="C251" s="630"/>
      <c r="D251" s="628"/>
      <c r="E251" s="630"/>
      <c r="F251" s="629"/>
      <c r="G251" s="635"/>
      <c r="H251" s="624"/>
      <c r="I251" s="630"/>
      <c r="K251" s="633"/>
      <c r="M251" s="634"/>
      <c r="O251" s="769"/>
      <c r="Q251" s="627"/>
      <c r="R251" s="634"/>
      <c r="T251" s="624"/>
      <c r="W251" s="623"/>
      <c r="X251" s="623"/>
      <c r="Y251" s="633"/>
      <c r="Z251" s="624"/>
      <c r="AB251" s="630"/>
      <c r="AC251" s="630"/>
      <c r="AD251" s="630"/>
      <c r="AE251" s="630"/>
      <c r="AF251" s="630"/>
      <c r="AG251" s="630"/>
    </row>
    <row r="252" spans="1:33">
      <c r="A252" s="628"/>
      <c r="B252" s="628"/>
      <c r="C252" s="630"/>
      <c r="D252" s="628"/>
      <c r="E252" s="630"/>
      <c r="F252" s="629"/>
      <c r="G252" s="635"/>
      <c r="H252" s="624"/>
      <c r="I252" s="630"/>
      <c r="K252" s="633"/>
      <c r="M252" s="634"/>
      <c r="O252" s="769"/>
      <c r="Q252" s="627"/>
      <c r="R252" s="634"/>
      <c r="T252" s="624"/>
      <c r="W252" s="623"/>
      <c r="X252" s="623"/>
      <c r="Y252" s="633"/>
      <c r="Z252" s="624"/>
      <c r="AB252" s="630"/>
      <c r="AC252" s="630"/>
      <c r="AD252" s="630"/>
      <c r="AE252" s="630"/>
      <c r="AF252" s="630"/>
      <c r="AG252" s="630"/>
    </row>
    <row r="253" spans="1:33">
      <c r="A253" s="628"/>
      <c r="B253" s="628"/>
      <c r="C253" s="630"/>
      <c r="D253" s="628"/>
      <c r="E253" s="630"/>
      <c r="F253" s="629"/>
      <c r="G253" s="635"/>
      <c r="H253" s="624"/>
      <c r="I253" s="630"/>
      <c r="K253" s="633"/>
      <c r="M253" s="634"/>
      <c r="O253" s="769"/>
      <c r="Q253" s="627"/>
      <c r="R253" s="634"/>
      <c r="T253" s="624"/>
      <c r="W253" s="623"/>
      <c r="X253" s="623"/>
      <c r="Y253" s="633"/>
      <c r="Z253" s="624"/>
      <c r="AB253" s="630"/>
      <c r="AC253" s="630"/>
      <c r="AD253" s="630"/>
      <c r="AE253" s="630"/>
      <c r="AF253" s="630"/>
      <c r="AG253" s="630"/>
    </row>
    <row r="254" spans="1:33">
      <c r="A254" s="628"/>
      <c r="B254" s="628"/>
      <c r="C254" s="630"/>
      <c r="D254" s="628"/>
      <c r="E254" s="630"/>
      <c r="F254" s="629"/>
      <c r="G254" s="635"/>
      <c r="H254" s="624"/>
      <c r="I254" s="630"/>
      <c r="K254" s="633"/>
      <c r="M254" s="634"/>
      <c r="O254" s="769"/>
      <c r="Q254" s="627"/>
      <c r="R254" s="634"/>
      <c r="T254" s="624"/>
      <c r="W254" s="623"/>
      <c r="X254" s="623"/>
      <c r="Y254" s="633"/>
      <c r="Z254" s="624"/>
      <c r="AB254" s="630"/>
      <c r="AC254" s="630"/>
      <c r="AD254" s="630"/>
      <c r="AE254" s="630"/>
      <c r="AF254" s="630"/>
      <c r="AG254" s="630"/>
    </row>
    <row r="255" spans="1:33">
      <c r="A255" s="628"/>
      <c r="B255" s="628"/>
      <c r="C255" s="630"/>
      <c r="D255" s="628"/>
      <c r="E255" s="630"/>
      <c r="F255" s="629"/>
      <c r="G255" s="635"/>
      <c r="H255" s="624"/>
      <c r="I255" s="630"/>
      <c r="K255" s="633"/>
      <c r="M255" s="634"/>
      <c r="O255" s="769"/>
      <c r="Q255" s="627"/>
      <c r="R255" s="634"/>
      <c r="T255" s="624"/>
      <c r="W255" s="623"/>
      <c r="X255" s="623"/>
      <c r="Y255" s="633"/>
      <c r="Z255" s="624"/>
      <c r="AB255" s="630"/>
      <c r="AC255" s="630"/>
      <c r="AD255" s="630"/>
      <c r="AE255" s="630"/>
      <c r="AF255" s="630"/>
      <c r="AG255" s="630"/>
    </row>
    <row r="256" spans="1:33">
      <c r="A256" s="628"/>
      <c r="B256" s="628"/>
      <c r="C256" s="630"/>
      <c r="D256" s="628"/>
      <c r="E256" s="630"/>
      <c r="F256" s="629"/>
      <c r="G256" s="635"/>
      <c r="H256" s="624"/>
      <c r="I256" s="630"/>
      <c r="K256" s="633"/>
      <c r="M256" s="634"/>
      <c r="O256" s="769"/>
      <c r="Q256" s="627"/>
      <c r="R256" s="634"/>
      <c r="T256" s="624"/>
      <c r="W256" s="623"/>
      <c r="X256" s="623"/>
      <c r="Y256" s="633"/>
      <c r="Z256" s="624"/>
      <c r="AB256" s="630"/>
      <c r="AC256" s="630"/>
      <c r="AD256" s="630"/>
      <c r="AE256" s="630"/>
      <c r="AF256" s="630"/>
      <c r="AG256" s="630"/>
    </row>
    <row r="257" spans="1:33">
      <c r="A257" s="628"/>
      <c r="B257" s="628"/>
      <c r="C257" s="630"/>
      <c r="D257" s="628"/>
      <c r="E257" s="630"/>
      <c r="F257" s="629"/>
      <c r="G257" s="635"/>
      <c r="H257" s="624"/>
      <c r="I257" s="630"/>
      <c r="K257" s="633"/>
      <c r="M257" s="634"/>
      <c r="O257" s="769"/>
      <c r="Q257" s="627"/>
      <c r="R257" s="634"/>
      <c r="T257" s="624"/>
      <c r="W257" s="623"/>
      <c r="X257" s="623"/>
      <c r="Y257" s="633"/>
      <c r="Z257" s="624"/>
      <c r="AB257" s="630"/>
      <c r="AC257" s="630"/>
      <c r="AD257" s="630"/>
      <c r="AE257" s="630"/>
      <c r="AF257" s="630"/>
      <c r="AG257" s="630"/>
    </row>
    <row r="258" spans="1:33">
      <c r="A258" s="628"/>
      <c r="B258" s="628"/>
      <c r="C258" s="630"/>
      <c r="D258" s="628"/>
      <c r="E258" s="630"/>
      <c r="F258" s="629"/>
      <c r="G258" s="635"/>
      <c r="H258" s="624"/>
      <c r="I258" s="630"/>
      <c r="K258" s="633"/>
      <c r="M258" s="634"/>
      <c r="O258" s="769"/>
      <c r="Q258" s="627"/>
      <c r="R258" s="634"/>
      <c r="T258" s="624"/>
      <c r="W258" s="623"/>
      <c r="X258" s="623"/>
      <c r="Y258" s="633"/>
      <c r="Z258" s="624"/>
      <c r="AB258" s="630"/>
      <c r="AC258" s="630"/>
      <c r="AD258" s="630"/>
      <c r="AE258" s="630"/>
      <c r="AF258" s="630"/>
      <c r="AG258" s="630"/>
    </row>
    <row r="259" spans="1:33">
      <c r="A259" s="628"/>
      <c r="B259" s="628"/>
      <c r="C259" s="630"/>
      <c r="D259" s="628"/>
      <c r="E259" s="630"/>
      <c r="F259" s="629"/>
      <c r="G259" s="635"/>
      <c r="H259" s="624"/>
      <c r="I259" s="630"/>
      <c r="K259" s="633"/>
      <c r="M259" s="634"/>
      <c r="O259" s="769"/>
      <c r="Q259" s="627"/>
      <c r="R259" s="634"/>
      <c r="T259" s="624"/>
      <c r="W259" s="623"/>
      <c r="X259" s="623"/>
      <c r="Y259" s="633"/>
      <c r="Z259" s="624"/>
      <c r="AB259" s="630"/>
      <c r="AC259" s="630"/>
      <c r="AD259" s="630"/>
      <c r="AE259" s="630"/>
      <c r="AF259" s="630"/>
      <c r="AG259" s="630"/>
    </row>
    <row r="260" spans="1:33">
      <c r="A260" s="628"/>
      <c r="B260" s="628"/>
      <c r="C260" s="630"/>
      <c r="D260" s="628"/>
      <c r="E260" s="630"/>
      <c r="F260" s="629"/>
      <c r="G260" s="635"/>
      <c r="H260" s="624"/>
      <c r="I260" s="630"/>
      <c r="K260" s="633"/>
      <c r="M260" s="634"/>
      <c r="O260" s="769"/>
      <c r="Q260" s="627"/>
      <c r="R260" s="634"/>
      <c r="T260" s="624"/>
      <c r="W260" s="623"/>
      <c r="X260" s="623"/>
      <c r="Y260" s="633"/>
      <c r="Z260" s="624"/>
      <c r="AB260" s="630"/>
      <c r="AC260" s="630"/>
      <c r="AD260" s="630"/>
      <c r="AE260" s="630"/>
      <c r="AF260" s="630"/>
      <c r="AG260" s="630"/>
    </row>
    <row r="261" spans="1:33">
      <c r="A261" s="628"/>
      <c r="B261" s="628"/>
      <c r="C261" s="630"/>
      <c r="D261" s="628"/>
      <c r="E261" s="630"/>
      <c r="F261" s="629"/>
      <c r="G261" s="635"/>
      <c r="H261" s="624"/>
      <c r="I261" s="630"/>
      <c r="K261" s="633"/>
      <c r="M261" s="634"/>
      <c r="O261" s="769"/>
      <c r="Q261" s="627"/>
      <c r="R261" s="634"/>
      <c r="T261" s="624"/>
      <c r="W261" s="623"/>
      <c r="X261" s="623"/>
      <c r="Y261" s="633"/>
      <c r="Z261" s="624"/>
      <c r="AB261" s="630"/>
      <c r="AC261" s="630"/>
      <c r="AD261" s="630"/>
      <c r="AE261" s="630"/>
      <c r="AF261" s="630"/>
      <c r="AG261" s="630"/>
    </row>
    <row r="262" spans="1:33">
      <c r="A262" s="628"/>
      <c r="B262" s="628"/>
      <c r="C262" s="630"/>
      <c r="D262" s="628"/>
      <c r="E262" s="630"/>
      <c r="F262" s="629"/>
      <c r="G262" s="635"/>
      <c r="H262" s="624"/>
      <c r="I262" s="630"/>
      <c r="K262" s="633"/>
      <c r="M262" s="634"/>
      <c r="O262" s="769"/>
      <c r="Q262" s="627"/>
      <c r="R262" s="634"/>
      <c r="T262" s="624"/>
      <c r="W262" s="623"/>
      <c r="X262" s="623"/>
      <c r="Y262" s="633"/>
      <c r="Z262" s="624"/>
      <c r="AB262" s="630"/>
      <c r="AC262" s="630"/>
      <c r="AD262" s="630"/>
      <c r="AE262" s="630"/>
      <c r="AF262" s="630"/>
      <c r="AG262" s="630"/>
    </row>
    <row r="263" spans="1:33">
      <c r="A263" s="628"/>
      <c r="B263" s="628"/>
      <c r="C263" s="630"/>
      <c r="D263" s="628"/>
      <c r="E263" s="630"/>
      <c r="F263" s="629"/>
      <c r="G263" s="635"/>
      <c r="H263" s="624"/>
      <c r="I263" s="630"/>
      <c r="K263" s="633"/>
      <c r="M263" s="634"/>
      <c r="O263" s="769"/>
      <c r="Q263" s="627"/>
      <c r="R263" s="634"/>
      <c r="T263" s="624"/>
      <c r="W263" s="623"/>
      <c r="X263" s="623"/>
      <c r="Y263" s="633"/>
      <c r="Z263" s="624"/>
      <c r="AB263" s="630"/>
      <c r="AC263" s="630"/>
      <c r="AD263" s="630"/>
      <c r="AE263" s="630"/>
      <c r="AF263" s="630"/>
      <c r="AG263" s="630"/>
    </row>
    <row r="264" spans="1:33">
      <c r="A264" s="628"/>
      <c r="B264" s="628"/>
      <c r="C264" s="630"/>
      <c r="D264" s="628"/>
      <c r="E264" s="630"/>
      <c r="F264" s="629"/>
      <c r="G264" s="635"/>
      <c r="H264" s="624"/>
      <c r="I264" s="630"/>
      <c r="K264" s="633"/>
      <c r="M264" s="634"/>
      <c r="O264" s="769"/>
      <c r="Q264" s="627"/>
      <c r="R264" s="634"/>
      <c r="T264" s="624"/>
      <c r="W264" s="623"/>
      <c r="X264" s="623"/>
      <c r="Y264" s="633"/>
      <c r="Z264" s="624"/>
      <c r="AB264" s="630"/>
      <c r="AC264" s="630"/>
      <c r="AD264" s="630"/>
      <c r="AE264" s="630"/>
      <c r="AF264" s="630"/>
      <c r="AG264" s="630"/>
    </row>
    <row r="265" spans="1:33">
      <c r="A265" s="628"/>
      <c r="B265" s="628"/>
      <c r="C265" s="630"/>
      <c r="D265" s="628"/>
      <c r="E265" s="630"/>
      <c r="F265" s="629"/>
      <c r="G265" s="635"/>
      <c r="H265" s="624"/>
      <c r="I265" s="630"/>
      <c r="K265" s="633"/>
      <c r="M265" s="634"/>
      <c r="O265" s="769"/>
      <c r="Q265" s="627"/>
      <c r="R265" s="634"/>
      <c r="T265" s="624"/>
      <c r="W265" s="623"/>
      <c r="X265" s="623"/>
      <c r="Y265" s="633"/>
      <c r="Z265" s="624"/>
      <c r="AB265" s="630"/>
      <c r="AC265" s="630"/>
      <c r="AD265" s="630"/>
      <c r="AE265" s="630"/>
      <c r="AF265" s="630"/>
      <c r="AG265" s="630"/>
    </row>
    <row r="266" spans="1:33">
      <c r="A266" s="628"/>
      <c r="B266" s="628"/>
      <c r="C266" s="630"/>
      <c r="D266" s="628"/>
      <c r="E266" s="630"/>
      <c r="F266" s="629"/>
      <c r="G266" s="635"/>
      <c r="H266" s="624"/>
      <c r="I266" s="630"/>
      <c r="K266" s="633"/>
      <c r="M266" s="634"/>
      <c r="O266" s="769"/>
      <c r="Q266" s="627"/>
      <c r="R266" s="634"/>
      <c r="T266" s="624"/>
      <c r="W266" s="623"/>
      <c r="X266" s="623"/>
      <c r="Y266" s="633"/>
      <c r="Z266" s="624"/>
      <c r="AB266" s="630"/>
      <c r="AC266" s="630"/>
      <c r="AD266" s="630"/>
      <c r="AE266" s="630"/>
      <c r="AF266" s="630"/>
      <c r="AG266" s="630"/>
    </row>
    <row r="267" spans="1:33">
      <c r="A267" s="628"/>
      <c r="B267" s="628"/>
      <c r="C267" s="630"/>
      <c r="D267" s="628"/>
      <c r="E267" s="630"/>
      <c r="F267" s="629"/>
      <c r="G267" s="635"/>
      <c r="H267" s="624"/>
      <c r="I267" s="630"/>
      <c r="K267" s="633"/>
      <c r="M267" s="634"/>
      <c r="O267" s="769"/>
      <c r="Q267" s="627"/>
      <c r="R267" s="634"/>
      <c r="T267" s="624"/>
      <c r="W267" s="623"/>
      <c r="X267" s="623"/>
      <c r="Y267" s="633"/>
      <c r="Z267" s="624"/>
      <c r="AB267" s="630"/>
      <c r="AC267" s="630"/>
      <c r="AD267" s="630"/>
      <c r="AE267" s="630"/>
      <c r="AF267" s="630"/>
      <c r="AG267" s="630"/>
    </row>
    <row r="268" spans="1:33">
      <c r="A268" s="628"/>
      <c r="B268" s="628"/>
      <c r="C268" s="630"/>
      <c r="D268" s="628"/>
      <c r="E268" s="630"/>
      <c r="F268" s="629"/>
      <c r="G268" s="635"/>
      <c r="H268" s="624"/>
      <c r="I268" s="630"/>
      <c r="K268" s="633"/>
      <c r="M268" s="634"/>
      <c r="O268" s="769"/>
      <c r="Q268" s="627"/>
      <c r="R268" s="634"/>
      <c r="T268" s="624"/>
      <c r="W268" s="623"/>
      <c r="X268" s="623"/>
      <c r="Y268" s="633"/>
      <c r="Z268" s="624"/>
      <c r="AB268" s="630"/>
      <c r="AC268" s="630"/>
      <c r="AD268" s="630"/>
      <c r="AE268" s="630"/>
      <c r="AF268" s="630"/>
      <c r="AG268" s="630"/>
    </row>
    <row r="269" spans="1:33">
      <c r="A269" s="628"/>
      <c r="B269" s="628"/>
      <c r="C269" s="630"/>
      <c r="D269" s="628"/>
      <c r="E269" s="630"/>
      <c r="F269" s="629"/>
      <c r="G269" s="635"/>
      <c r="H269" s="624"/>
      <c r="I269" s="630"/>
      <c r="K269" s="633"/>
      <c r="M269" s="634"/>
      <c r="O269" s="769"/>
      <c r="Q269" s="627"/>
      <c r="R269" s="634"/>
      <c r="T269" s="624"/>
      <c r="W269" s="623"/>
      <c r="X269" s="623"/>
      <c r="Y269" s="633"/>
      <c r="Z269" s="624"/>
      <c r="AB269" s="630"/>
      <c r="AC269" s="630"/>
      <c r="AD269" s="630"/>
      <c r="AE269" s="630"/>
      <c r="AF269" s="630"/>
      <c r="AG269" s="630"/>
    </row>
    <row r="270" spans="1:33">
      <c r="A270" s="628"/>
      <c r="B270" s="628"/>
      <c r="C270" s="630"/>
      <c r="D270" s="628"/>
      <c r="E270" s="630"/>
      <c r="F270" s="629"/>
      <c r="G270" s="635"/>
      <c r="H270" s="624"/>
      <c r="I270" s="630"/>
      <c r="K270" s="633"/>
      <c r="M270" s="634"/>
      <c r="O270" s="769"/>
      <c r="Q270" s="627"/>
      <c r="R270" s="634"/>
      <c r="T270" s="624"/>
      <c r="W270" s="623"/>
      <c r="X270" s="623"/>
      <c r="Y270" s="633"/>
      <c r="Z270" s="624"/>
      <c r="AB270" s="630"/>
      <c r="AC270" s="630"/>
      <c r="AD270" s="630"/>
      <c r="AE270" s="630"/>
      <c r="AF270" s="630"/>
      <c r="AG270" s="630"/>
    </row>
    <row r="271" spans="1:33">
      <c r="A271" s="628"/>
      <c r="B271" s="628"/>
      <c r="C271" s="630"/>
      <c r="D271" s="628"/>
      <c r="E271" s="630"/>
      <c r="F271" s="629"/>
      <c r="G271" s="635"/>
      <c r="H271" s="624"/>
      <c r="I271" s="630"/>
      <c r="K271" s="633"/>
      <c r="M271" s="634"/>
      <c r="O271" s="769"/>
      <c r="Q271" s="627"/>
      <c r="R271" s="634"/>
      <c r="T271" s="624"/>
      <c r="W271" s="623"/>
      <c r="X271" s="623"/>
      <c r="Y271" s="633"/>
      <c r="Z271" s="624"/>
      <c r="AB271" s="630"/>
      <c r="AC271" s="630"/>
      <c r="AD271" s="630"/>
      <c r="AE271" s="630"/>
      <c r="AF271" s="630"/>
      <c r="AG271" s="630"/>
    </row>
    <row r="272" spans="1:33">
      <c r="A272" s="628"/>
      <c r="B272" s="628"/>
      <c r="C272" s="630"/>
      <c r="D272" s="628"/>
      <c r="E272" s="630"/>
      <c r="F272" s="629"/>
      <c r="G272" s="635"/>
      <c r="H272" s="624"/>
      <c r="I272" s="630"/>
      <c r="K272" s="633"/>
      <c r="M272" s="634"/>
      <c r="O272" s="769"/>
      <c r="Q272" s="627"/>
      <c r="R272" s="634"/>
      <c r="T272" s="624"/>
      <c r="W272" s="623"/>
      <c r="X272" s="623"/>
      <c r="Y272" s="633"/>
      <c r="Z272" s="624"/>
      <c r="AB272" s="630"/>
      <c r="AC272" s="630"/>
      <c r="AD272" s="630"/>
      <c r="AE272" s="630"/>
      <c r="AF272" s="630"/>
      <c r="AG272" s="630"/>
    </row>
    <row r="273" spans="1:33">
      <c r="A273" s="628"/>
      <c r="B273" s="628"/>
      <c r="C273" s="630"/>
      <c r="D273" s="628"/>
      <c r="E273" s="630"/>
      <c r="F273" s="629"/>
      <c r="G273" s="635"/>
      <c r="H273" s="624"/>
      <c r="I273" s="630"/>
      <c r="K273" s="633"/>
      <c r="M273" s="634"/>
      <c r="O273" s="769"/>
      <c r="Q273" s="627"/>
      <c r="R273" s="634"/>
      <c r="T273" s="624"/>
      <c r="W273" s="623"/>
      <c r="X273" s="623"/>
      <c r="Y273" s="633"/>
      <c r="Z273" s="624"/>
      <c r="AB273" s="630"/>
      <c r="AC273" s="630"/>
      <c r="AD273" s="630"/>
      <c r="AE273" s="630"/>
      <c r="AF273" s="630"/>
      <c r="AG273" s="630"/>
    </row>
    <row r="274" spans="1:33">
      <c r="A274" s="628"/>
      <c r="B274" s="628"/>
      <c r="C274" s="630"/>
      <c r="D274" s="628"/>
      <c r="E274" s="630"/>
      <c r="F274" s="629"/>
      <c r="G274" s="635"/>
      <c r="H274" s="624"/>
      <c r="I274" s="630"/>
      <c r="K274" s="633"/>
      <c r="M274" s="634"/>
      <c r="O274" s="769"/>
      <c r="Q274" s="627"/>
      <c r="R274" s="634"/>
      <c r="T274" s="624"/>
      <c r="W274" s="623"/>
      <c r="X274" s="623"/>
      <c r="Y274" s="633"/>
      <c r="Z274" s="624"/>
      <c r="AB274" s="630"/>
      <c r="AC274" s="630"/>
      <c r="AD274" s="630"/>
      <c r="AE274" s="630"/>
      <c r="AF274" s="630"/>
      <c r="AG274" s="630"/>
    </row>
    <row r="275" spans="1:33">
      <c r="A275" s="628"/>
      <c r="B275" s="628"/>
      <c r="C275" s="630"/>
      <c r="D275" s="628"/>
      <c r="E275" s="630"/>
      <c r="F275" s="629"/>
      <c r="G275" s="635"/>
      <c r="H275" s="624"/>
      <c r="I275" s="630"/>
      <c r="K275" s="633"/>
      <c r="M275" s="634"/>
      <c r="O275" s="769"/>
      <c r="Q275" s="627"/>
      <c r="R275" s="634"/>
      <c r="T275" s="624"/>
      <c r="W275" s="623"/>
      <c r="X275" s="623"/>
      <c r="Y275" s="633"/>
      <c r="Z275" s="624"/>
      <c r="AB275" s="630"/>
      <c r="AC275" s="630"/>
      <c r="AD275" s="630"/>
      <c r="AE275" s="630"/>
      <c r="AF275" s="630"/>
      <c r="AG275" s="630"/>
    </row>
    <row r="276" spans="1:33">
      <c r="A276" s="628"/>
      <c r="B276" s="628"/>
      <c r="C276" s="630"/>
      <c r="D276" s="628"/>
      <c r="E276" s="630"/>
      <c r="F276" s="629"/>
      <c r="G276" s="635"/>
      <c r="H276" s="624"/>
      <c r="I276" s="630"/>
      <c r="K276" s="633"/>
      <c r="M276" s="634"/>
      <c r="O276" s="769"/>
      <c r="Q276" s="627"/>
      <c r="R276" s="634"/>
      <c r="T276" s="624"/>
      <c r="W276" s="623"/>
      <c r="X276" s="623"/>
      <c r="Y276" s="633"/>
      <c r="Z276" s="624"/>
      <c r="AB276" s="630"/>
      <c r="AC276" s="630"/>
      <c r="AD276" s="630"/>
      <c r="AE276" s="630"/>
      <c r="AF276" s="630"/>
      <c r="AG276" s="630"/>
    </row>
    <row r="277" spans="1:33">
      <c r="A277" s="628"/>
      <c r="B277" s="628"/>
      <c r="C277" s="630"/>
      <c r="D277" s="628"/>
      <c r="E277" s="630"/>
      <c r="F277" s="629"/>
      <c r="G277" s="635"/>
      <c r="H277" s="624"/>
      <c r="I277" s="630"/>
      <c r="K277" s="633"/>
      <c r="M277" s="634"/>
      <c r="O277" s="769"/>
      <c r="Q277" s="627"/>
      <c r="R277" s="634"/>
      <c r="T277" s="624"/>
      <c r="W277" s="623"/>
      <c r="X277" s="623"/>
      <c r="Y277" s="633"/>
      <c r="Z277" s="624"/>
      <c r="AB277" s="630"/>
      <c r="AC277" s="630"/>
      <c r="AD277" s="630"/>
      <c r="AE277" s="630"/>
      <c r="AF277" s="630"/>
      <c r="AG277" s="630"/>
    </row>
    <row r="278" spans="1:33">
      <c r="A278" s="628"/>
      <c r="B278" s="628"/>
      <c r="C278" s="630"/>
      <c r="D278" s="628"/>
      <c r="E278" s="630"/>
      <c r="F278" s="629"/>
      <c r="G278" s="635"/>
      <c r="H278" s="624"/>
      <c r="I278" s="630"/>
      <c r="K278" s="633"/>
      <c r="M278" s="634"/>
      <c r="O278" s="769"/>
      <c r="Q278" s="627"/>
      <c r="R278" s="634"/>
      <c r="T278" s="624"/>
      <c r="W278" s="623"/>
      <c r="X278" s="623"/>
      <c r="Y278" s="633"/>
      <c r="Z278" s="624"/>
      <c r="AB278" s="630"/>
      <c r="AC278" s="630"/>
      <c r="AD278" s="630"/>
      <c r="AE278" s="630"/>
      <c r="AF278" s="630"/>
      <c r="AG278" s="630"/>
    </row>
    <row r="279" spans="1:33">
      <c r="A279" s="628"/>
      <c r="B279" s="628"/>
      <c r="C279" s="630"/>
      <c r="D279" s="628"/>
      <c r="E279" s="630"/>
      <c r="F279" s="629"/>
      <c r="G279" s="635"/>
      <c r="H279" s="624"/>
      <c r="I279" s="630"/>
      <c r="K279" s="633"/>
      <c r="M279" s="634"/>
      <c r="O279" s="769"/>
      <c r="Q279" s="627"/>
      <c r="R279" s="634"/>
      <c r="T279" s="624"/>
      <c r="W279" s="623"/>
      <c r="X279" s="623"/>
      <c r="Y279" s="633"/>
      <c r="Z279" s="624"/>
      <c r="AB279" s="630"/>
      <c r="AC279" s="630"/>
      <c r="AD279" s="630"/>
      <c r="AE279" s="630"/>
      <c r="AF279" s="630"/>
      <c r="AG279" s="630"/>
    </row>
    <row r="280" spans="1:33">
      <c r="A280" s="628"/>
      <c r="B280" s="628"/>
      <c r="C280" s="630"/>
      <c r="D280" s="628"/>
      <c r="E280" s="630"/>
      <c r="F280" s="629"/>
      <c r="G280" s="635"/>
      <c r="H280" s="624"/>
      <c r="I280" s="630"/>
      <c r="K280" s="633"/>
      <c r="M280" s="634"/>
      <c r="O280" s="769"/>
      <c r="Q280" s="627"/>
      <c r="R280" s="634"/>
      <c r="T280" s="624"/>
      <c r="W280" s="623"/>
      <c r="X280" s="623"/>
      <c r="Y280" s="633"/>
      <c r="Z280" s="624"/>
      <c r="AB280" s="630"/>
      <c r="AC280" s="630"/>
      <c r="AD280" s="630"/>
      <c r="AE280" s="630"/>
      <c r="AF280" s="630"/>
      <c r="AG280" s="630"/>
    </row>
    <row r="281" spans="1:33">
      <c r="A281" s="628"/>
      <c r="B281" s="628"/>
      <c r="C281" s="630"/>
      <c r="D281" s="628"/>
      <c r="E281" s="630"/>
      <c r="F281" s="629"/>
      <c r="G281" s="635"/>
      <c r="H281" s="624"/>
      <c r="I281" s="630"/>
      <c r="K281" s="633"/>
      <c r="M281" s="634"/>
      <c r="O281" s="769"/>
      <c r="Q281" s="627"/>
      <c r="R281" s="634"/>
      <c r="T281" s="624"/>
      <c r="W281" s="623"/>
      <c r="X281" s="623"/>
      <c r="Y281" s="633"/>
      <c r="Z281" s="624"/>
      <c r="AB281" s="630"/>
      <c r="AC281" s="630"/>
      <c r="AD281" s="630"/>
      <c r="AE281" s="630"/>
      <c r="AF281" s="630"/>
      <c r="AG281" s="630"/>
    </row>
    <row r="282" spans="1:33">
      <c r="A282" s="628"/>
      <c r="B282" s="628"/>
      <c r="C282" s="630"/>
      <c r="D282" s="628"/>
      <c r="E282" s="630"/>
      <c r="F282" s="629"/>
      <c r="G282" s="635"/>
      <c r="H282" s="624"/>
      <c r="I282" s="630"/>
      <c r="K282" s="633"/>
      <c r="M282" s="634"/>
      <c r="O282" s="769"/>
      <c r="Q282" s="627"/>
      <c r="R282" s="634"/>
      <c r="T282" s="624"/>
      <c r="W282" s="623"/>
      <c r="X282" s="623"/>
      <c r="Y282" s="633"/>
      <c r="Z282" s="624"/>
      <c r="AB282" s="630"/>
      <c r="AC282" s="630"/>
      <c r="AD282" s="630"/>
      <c r="AE282" s="630"/>
      <c r="AF282" s="630"/>
      <c r="AG282" s="630"/>
    </row>
    <row r="283" spans="1:33">
      <c r="A283" s="628"/>
      <c r="B283" s="628"/>
      <c r="C283" s="630"/>
      <c r="D283" s="628"/>
      <c r="E283" s="630"/>
      <c r="F283" s="629"/>
      <c r="G283" s="635"/>
      <c r="H283" s="624"/>
      <c r="I283" s="630"/>
      <c r="K283" s="633"/>
      <c r="M283" s="634"/>
      <c r="O283" s="769"/>
      <c r="Q283" s="627"/>
      <c r="R283" s="634"/>
      <c r="T283" s="624"/>
      <c r="W283" s="623"/>
      <c r="X283" s="623"/>
      <c r="Y283" s="633"/>
      <c r="Z283" s="624"/>
      <c r="AB283" s="630"/>
      <c r="AC283" s="630"/>
      <c r="AD283" s="630"/>
      <c r="AE283" s="630"/>
      <c r="AF283" s="630"/>
      <c r="AG283" s="630"/>
    </row>
    <row r="284" spans="1:33">
      <c r="A284" s="628"/>
      <c r="B284" s="628"/>
      <c r="C284" s="630"/>
      <c r="D284" s="628"/>
      <c r="E284" s="630"/>
      <c r="F284" s="629"/>
      <c r="G284" s="635"/>
      <c r="H284" s="624"/>
      <c r="I284" s="630"/>
      <c r="K284" s="633"/>
      <c r="M284" s="634"/>
      <c r="O284" s="769"/>
      <c r="Q284" s="627"/>
      <c r="R284" s="634"/>
      <c r="T284" s="624"/>
      <c r="W284" s="623"/>
      <c r="X284" s="623"/>
      <c r="Y284" s="633"/>
      <c r="Z284" s="624"/>
      <c r="AB284" s="630"/>
      <c r="AC284" s="630"/>
      <c r="AD284" s="630"/>
      <c r="AE284" s="630"/>
      <c r="AF284" s="630"/>
      <c r="AG284" s="630"/>
    </row>
    <row r="285" spans="1:33">
      <c r="A285" s="628"/>
      <c r="B285" s="628"/>
      <c r="C285" s="630"/>
      <c r="D285" s="628"/>
      <c r="E285" s="630"/>
      <c r="F285" s="629"/>
      <c r="G285" s="635"/>
      <c r="H285" s="624"/>
      <c r="I285" s="630"/>
      <c r="K285" s="633"/>
      <c r="M285" s="634"/>
      <c r="O285" s="769"/>
      <c r="Q285" s="627"/>
      <c r="R285" s="634"/>
      <c r="T285" s="624"/>
      <c r="W285" s="623"/>
      <c r="X285" s="623"/>
      <c r="Y285" s="633"/>
      <c r="Z285" s="624"/>
      <c r="AB285" s="630"/>
      <c r="AC285" s="630"/>
      <c r="AD285" s="630"/>
      <c r="AE285" s="630"/>
      <c r="AF285" s="630"/>
      <c r="AG285" s="630"/>
    </row>
    <row r="286" spans="1:33">
      <c r="A286" s="628"/>
      <c r="B286" s="628"/>
      <c r="C286" s="630"/>
      <c r="D286" s="628"/>
      <c r="E286" s="630"/>
      <c r="F286" s="629"/>
      <c r="G286" s="635"/>
      <c r="H286" s="624"/>
      <c r="I286" s="630"/>
      <c r="K286" s="633"/>
      <c r="M286" s="634"/>
      <c r="O286" s="769"/>
      <c r="Q286" s="627"/>
      <c r="R286" s="634"/>
      <c r="T286" s="624"/>
      <c r="W286" s="623"/>
      <c r="X286" s="623"/>
      <c r="Y286" s="633"/>
      <c r="Z286" s="624"/>
      <c r="AB286" s="630"/>
      <c r="AC286" s="630"/>
      <c r="AD286" s="630"/>
      <c r="AE286" s="630"/>
      <c r="AF286" s="630"/>
      <c r="AG286" s="630"/>
    </row>
    <row r="287" spans="1:33">
      <c r="A287" s="628"/>
      <c r="B287" s="628"/>
      <c r="C287" s="630"/>
      <c r="D287" s="628"/>
      <c r="E287" s="630"/>
      <c r="F287" s="629"/>
      <c r="G287" s="635"/>
      <c r="H287" s="624"/>
      <c r="I287" s="630"/>
      <c r="K287" s="633"/>
      <c r="M287" s="634"/>
      <c r="O287" s="769"/>
      <c r="Q287" s="627"/>
      <c r="R287" s="634"/>
      <c r="T287" s="624"/>
      <c r="W287" s="623"/>
      <c r="X287" s="623"/>
      <c r="Y287" s="633"/>
      <c r="Z287" s="624"/>
      <c r="AB287" s="630"/>
      <c r="AC287" s="630"/>
      <c r="AD287" s="630"/>
      <c r="AE287" s="630"/>
      <c r="AF287" s="630"/>
      <c r="AG287" s="630"/>
    </row>
    <row r="288" spans="1:33">
      <c r="A288" s="628"/>
      <c r="B288" s="628"/>
      <c r="C288" s="630"/>
      <c r="D288" s="628"/>
      <c r="E288" s="630"/>
      <c r="F288" s="629"/>
      <c r="G288" s="635"/>
      <c r="H288" s="624"/>
      <c r="I288" s="630"/>
      <c r="K288" s="633"/>
      <c r="M288" s="634"/>
      <c r="O288" s="769"/>
      <c r="Q288" s="627"/>
      <c r="R288" s="634"/>
      <c r="T288" s="624"/>
      <c r="W288" s="623"/>
      <c r="X288" s="623"/>
      <c r="Y288" s="633"/>
      <c r="Z288" s="624"/>
      <c r="AB288" s="630"/>
      <c r="AC288" s="630"/>
      <c r="AD288" s="630"/>
      <c r="AE288" s="630"/>
      <c r="AF288" s="630"/>
      <c r="AG288" s="630"/>
    </row>
    <row r="289" spans="1:33">
      <c r="A289" s="628"/>
      <c r="B289" s="628"/>
      <c r="C289" s="630"/>
      <c r="D289" s="628"/>
      <c r="E289" s="630"/>
      <c r="F289" s="629"/>
      <c r="G289" s="635"/>
      <c r="H289" s="624"/>
      <c r="I289" s="630"/>
      <c r="K289" s="633"/>
      <c r="M289" s="634"/>
      <c r="O289" s="769"/>
      <c r="Q289" s="627"/>
      <c r="R289" s="634"/>
      <c r="T289" s="624"/>
      <c r="W289" s="623"/>
      <c r="X289" s="623"/>
      <c r="Y289" s="633"/>
      <c r="Z289" s="624"/>
      <c r="AB289" s="630"/>
      <c r="AC289" s="630"/>
      <c r="AD289" s="630"/>
      <c r="AE289" s="630"/>
      <c r="AF289" s="630"/>
      <c r="AG289" s="630"/>
    </row>
    <row r="290" spans="1:33">
      <c r="A290" s="628"/>
      <c r="B290" s="628"/>
      <c r="C290" s="630"/>
      <c r="D290" s="628"/>
      <c r="E290" s="630"/>
      <c r="F290" s="629"/>
      <c r="G290" s="635"/>
      <c r="H290" s="624"/>
      <c r="I290" s="630"/>
      <c r="K290" s="633"/>
      <c r="M290" s="634"/>
      <c r="O290" s="769"/>
      <c r="Q290" s="627"/>
      <c r="R290" s="634"/>
      <c r="T290" s="624"/>
      <c r="W290" s="623"/>
      <c r="X290" s="623"/>
      <c r="Y290" s="633"/>
      <c r="Z290" s="624"/>
      <c r="AB290" s="630"/>
      <c r="AC290" s="630"/>
      <c r="AD290" s="630"/>
      <c r="AE290" s="630"/>
      <c r="AF290" s="630"/>
      <c r="AG290" s="630"/>
    </row>
    <row r="291" spans="1:33">
      <c r="A291" s="628"/>
      <c r="B291" s="628"/>
      <c r="C291" s="630"/>
      <c r="D291" s="628"/>
      <c r="E291" s="630"/>
      <c r="F291" s="629"/>
      <c r="G291" s="635"/>
      <c r="H291" s="624"/>
      <c r="I291" s="630"/>
      <c r="K291" s="633"/>
      <c r="M291" s="634"/>
      <c r="O291" s="769"/>
      <c r="Q291" s="627"/>
      <c r="R291" s="634"/>
      <c r="T291" s="624"/>
      <c r="W291" s="623"/>
      <c r="X291" s="623"/>
      <c r="Y291" s="633"/>
      <c r="Z291" s="624"/>
      <c r="AB291" s="630"/>
      <c r="AC291" s="630"/>
      <c r="AD291" s="630"/>
      <c r="AE291" s="630"/>
      <c r="AF291" s="630"/>
      <c r="AG291" s="630"/>
    </row>
    <row r="292" spans="1:33">
      <c r="A292" s="628"/>
      <c r="B292" s="628"/>
      <c r="C292" s="630"/>
      <c r="D292" s="628"/>
      <c r="E292" s="630"/>
      <c r="F292" s="629"/>
      <c r="G292" s="635"/>
      <c r="H292" s="624"/>
      <c r="I292" s="630"/>
      <c r="K292" s="633"/>
      <c r="M292" s="634"/>
      <c r="O292" s="769"/>
      <c r="Q292" s="627"/>
      <c r="R292" s="634"/>
      <c r="T292" s="624"/>
      <c r="W292" s="623"/>
      <c r="X292" s="623"/>
      <c r="Y292" s="633"/>
      <c r="Z292" s="624"/>
      <c r="AB292" s="630"/>
      <c r="AC292" s="630"/>
      <c r="AD292" s="630"/>
      <c r="AE292" s="630"/>
      <c r="AF292" s="630"/>
      <c r="AG292" s="630"/>
    </row>
    <row r="293" spans="1:33">
      <c r="A293" s="628"/>
      <c r="B293" s="628"/>
      <c r="C293" s="630"/>
      <c r="D293" s="628"/>
      <c r="E293" s="630"/>
      <c r="F293" s="629"/>
      <c r="G293" s="635"/>
      <c r="H293" s="624"/>
      <c r="I293" s="630"/>
      <c r="K293" s="633"/>
      <c r="M293" s="634"/>
      <c r="O293" s="769"/>
      <c r="Q293" s="627"/>
      <c r="R293" s="634"/>
      <c r="T293" s="624"/>
      <c r="W293" s="623"/>
      <c r="X293" s="623"/>
      <c r="Y293" s="633"/>
      <c r="Z293" s="624"/>
      <c r="AB293" s="630"/>
      <c r="AC293" s="630"/>
      <c r="AD293" s="630"/>
      <c r="AE293" s="630"/>
      <c r="AF293" s="630"/>
      <c r="AG293" s="630"/>
    </row>
    <row r="294" spans="1:33">
      <c r="A294" s="628"/>
      <c r="B294" s="628"/>
      <c r="C294" s="630"/>
      <c r="D294" s="628"/>
      <c r="E294" s="630"/>
      <c r="F294" s="629"/>
      <c r="G294" s="635"/>
      <c r="H294" s="624"/>
      <c r="I294" s="630"/>
      <c r="K294" s="633"/>
      <c r="M294" s="634"/>
      <c r="O294" s="769"/>
      <c r="Q294" s="627"/>
      <c r="R294" s="634"/>
      <c r="T294" s="624"/>
      <c r="W294" s="623"/>
      <c r="X294" s="623"/>
      <c r="Y294" s="633"/>
      <c r="Z294" s="624"/>
      <c r="AB294" s="630"/>
      <c r="AC294" s="630"/>
      <c r="AD294" s="630"/>
      <c r="AE294" s="630"/>
      <c r="AF294" s="630"/>
      <c r="AG294" s="630"/>
    </row>
    <row r="295" spans="1:33">
      <c r="A295" s="628"/>
      <c r="B295" s="628"/>
      <c r="C295" s="630"/>
      <c r="D295" s="628"/>
      <c r="E295" s="630"/>
      <c r="F295" s="629"/>
      <c r="G295" s="635"/>
      <c r="H295" s="624"/>
      <c r="I295" s="630"/>
      <c r="K295" s="633"/>
      <c r="M295" s="634"/>
      <c r="O295" s="769"/>
      <c r="Q295" s="627"/>
      <c r="R295" s="634"/>
      <c r="T295" s="624"/>
      <c r="W295" s="623"/>
      <c r="X295" s="623"/>
      <c r="Y295" s="633"/>
      <c r="Z295" s="624"/>
      <c r="AB295" s="630"/>
      <c r="AC295" s="630"/>
      <c r="AD295" s="630"/>
      <c r="AE295" s="630"/>
      <c r="AF295" s="630"/>
      <c r="AG295" s="630"/>
    </row>
    <row r="296" spans="1:33">
      <c r="A296" s="628"/>
      <c r="B296" s="628"/>
      <c r="C296" s="630"/>
      <c r="D296" s="628"/>
      <c r="E296" s="630"/>
      <c r="F296" s="629"/>
      <c r="G296" s="635"/>
      <c r="H296" s="624"/>
      <c r="I296" s="630"/>
      <c r="K296" s="633"/>
      <c r="M296" s="634"/>
      <c r="O296" s="769"/>
      <c r="Q296" s="627"/>
      <c r="R296" s="634"/>
      <c r="T296" s="624"/>
      <c r="W296" s="623"/>
      <c r="X296" s="623"/>
      <c r="Y296" s="633"/>
      <c r="Z296" s="624"/>
      <c r="AB296" s="630"/>
      <c r="AC296" s="630"/>
      <c r="AD296" s="630"/>
      <c r="AE296" s="630"/>
      <c r="AF296" s="630"/>
      <c r="AG296" s="630"/>
    </row>
    <row r="297" spans="1:33">
      <c r="A297" s="628"/>
      <c r="B297" s="628"/>
      <c r="C297" s="630"/>
      <c r="D297" s="628"/>
      <c r="E297" s="630"/>
      <c r="F297" s="629"/>
      <c r="G297" s="635"/>
      <c r="H297" s="624"/>
      <c r="I297" s="630"/>
      <c r="K297" s="633"/>
      <c r="M297" s="634"/>
      <c r="O297" s="769"/>
      <c r="Q297" s="627"/>
      <c r="R297" s="634"/>
      <c r="T297" s="624"/>
      <c r="W297" s="623"/>
      <c r="X297" s="623"/>
      <c r="Y297" s="633"/>
      <c r="Z297" s="624"/>
      <c r="AB297" s="630"/>
      <c r="AC297" s="630"/>
      <c r="AD297" s="630"/>
      <c r="AE297" s="630"/>
      <c r="AF297" s="630"/>
      <c r="AG297" s="630"/>
    </row>
    <row r="298" spans="1:33">
      <c r="A298" s="628"/>
      <c r="B298" s="628"/>
      <c r="C298" s="630"/>
      <c r="D298" s="628"/>
      <c r="E298" s="630"/>
      <c r="F298" s="629"/>
      <c r="G298" s="635"/>
      <c r="H298" s="624"/>
      <c r="I298" s="630"/>
      <c r="K298" s="633"/>
      <c r="M298" s="634"/>
      <c r="O298" s="769"/>
      <c r="Q298" s="627"/>
      <c r="R298" s="634"/>
      <c r="T298" s="624"/>
      <c r="W298" s="623"/>
      <c r="X298" s="623"/>
      <c r="Y298" s="633"/>
      <c r="Z298" s="624"/>
      <c r="AB298" s="630"/>
      <c r="AC298" s="630"/>
      <c r="AD298" s="630"/>
      <c r="AE298" s="630"/>
      <c r="AF298" s="630"/>
      <c r="AG298" s="630"/>
    </row>
    <row r="299" spans="1:33">
      <c r="A299" s="628"/>
      <c r="B299" s="628"/>
      <c r="C299" s="630"/>
      <c r="D299" s="628"/>
      <c r="E299" s="630"/>
      <c r="F299" s="629"/>
      <c r="G299" s="635"/>
      <c r="H299" s="624"/>
      <c r="I299" s="630"/>
      <c r="K299" s="633"/>
      <c r="M299" s="634"/>
      <c r="O299" s="769"/>
      <c r="Q299" s="627"/>
      <c r="R299" s="634"/>
      <c r="T299" s="624"/>
      <c r="W299" s="623"/>
      <c r="X299" s="623"/>
      <c r="Y299" s="633"/>
      <c r="Z299" s="624"/>
      <c r="AB299" s="630"/>
      <c r="AC299" s="630"/>
      <c r="AD299" s="630"/>
      <c r="AE299" s="630"/>
      <c r="AF299" s="630"/>
      <c r="AG299" s="630"/>
    </row>
    <row r="300" spans="1:33">
      <c r="A300" s="628"/>
      <c r="B300" s="628"/>
      <c r="C300" s="630"/>
      <c r="D300" s="628"/>
      <c r="E300" s="630"/>
      <c r="F300" s="629"/>
      <c r="G300" s="635"/>
      <c r="H300" s="624"/>
      <c r="I300" s="630"/>
      <c r="K300" s="633"/>
      <c r="M300" s="634"/>
      <c r="O300" s="769"/>
      <c r="Q300" s="627"/>
      <c r="R300" s="634"/>
      <c r="T300" s="624"/>
      <c r="W300" s="623"/>
      <c r="X300" s="623"/>
      <c r="Y300" s="633"/>
      <c r="Z300" s="624"/>
      <c r="AB300" s="630"/>
      <c r="AC300" s="630"/>
      <c r="AD300" s="630"/>
      <c r="AE300" s="630"/>
      <c r="AF300" s="630"/>
      <c r="AG300" s="630"/>
    </row>
    <row r="301" spans="1:33">
      <c r="A301" s="628"/>
      <c r="B301" s="628"/>
      <c r="C301" s="630"/>
      <c r="D301" s="628"/>
      <c r="E301" s="630"/>
      <c r="F301" s="629"/>
      <c r="G301" s="635"/>
      <c r="H301" s="624"/>
      <c r="I301" s="630"/>
      <c r="K301" s="633"/>
      <c r="M301" s="634"/>
      <c r="O301" s="769"/>
      <c r="Q301" s="627"/>
      <c r="R301" s="634"/>
      <c r="T301" s="624"/>
      <c r="W301" s="623"/>
      <c r="X301" s="623"/>
      <c r="Y301" s="633"/>
      <c r="Z301" s="624"/>
      <c r="AB301" s="630"/>
      <c r="AC301" s="630"/>
      <c r="AD301" s="630"/>
      <c r="AE301" s="630"/>
      <c r="AF301" s="630"/>
      <c r="AG301" s="630"/>
    </row>
    <row r="302" spans="1:33">
      <c r="A302" s="628"/>
      <c r="B302" s="628"/>
      <c r="C302" s="630"/>
      <c r="D302" s="628"/>
      <c r="E302" s="630"/>
      <c r="F302" s="629"/>
      <c r="G302" s="635"/>
      <c r="H302" s="624"/>
      <c r="I302" s="630"/>
      <c r="K302" s="633"/>
      <c r="M302" s="634"/>
      <c r="O302" s="769"/>
      <c r="Q302" s="627"/>
      <c r="R302" s="634"/>
      <c r="T302" s="624"/>
      <c r="W302" s="623"/>
      <c r="X302" s="623"/>
      <c r="Y302" s="633"/>
      <c r="Z302" s="624"/>
      <c r="AB302" s="630"/>
      <c r="AC302" s="630"/>
      <c r="AD302" s="630"/>
      <c r="AE302" s="630"/>
      <c r="AF302" s="630"/>
      <c r="AG302" s="630"/>
    </row>
    <row r="303" spans="1:33">
      <c r="A303" s="628"/>
      <c r="B303" s="628"/>
      <c r="C303" s="630"/>
      <c r="D303" s="628"/>
      <c r="E303" s="630"/>
      <c r="F303" s="629"/>
      <c r="G303" s="635"/>
      <c r="H303" s="624"/>
      <c r="I303" s="630"/>
      <c r="K303" s="633"/>
      <c r="M303" s="634"/>
      <c r="O303" s="769"/>
      <c r="Q303" s="627"/>
      <c r="R303" s="634"/>
      <c r="T303" s="624"/>
      <c r="W303" s="623"/>
      <c r="X303" s="623"/>
      <c r="Y303" s="633"/>
      <c r="Z303" s="624"/>
      <c r="AB303" s="630"/>
      <c r="AC303" s="630"/>
      <c r="AD303" s="630"/>
      <c r="AE303" s="630"/>
      <c r="AF303" s="630"/>
      <c r="AG303" s="630"/>
    </row>
    <row r="304" spans="1:33">
      <c r="A304" s="628"/>
      <c r="B304" s="628"/>
      <c r="C304" s="630"/>
      <c r="D304" s="628"/>
      <c r="E304" s="630"/>
      <c r="F304" s="629"/>
      <c r="G304" s="635"/>
      <c r="H304" s="624"/>
      <c r="I304" s="630"/>
      <c r="K304" s="633"/>
      <c r="M304" s="634"/>
      <c r="O304" s="769"/>
      <c r="Q304" s="627"/>
      <c r="R304" s="634"/>
      <c r="T304" s="624"/>
      <c r="W304" s="623"/>
      <c r="X304" s="623"/>
      <c r="Y304" s="633"/>
      <c r="Z304" s="624"/>
      <c r="AB304" s="630"/>
      <c r="AC304" s="630"/>
      <c r="AD304" s="630"/>
      <c r="AE304" s="630"/>
      <c r="AF304" s="630"/>
      <c r="AG304" s="630"/>
    </row>
    <row r="305" spans="1:33">
      <c r="A305" s="628"/>
      <c r="B305" s="628"/>
      <c r="C305" s="630"/>
      <c r="D305" s="628"/>
      <c r="E305" s="630"/>
      <c r="F305" s="629"/>
      <c r="G305" s="635"/>
      <c r="H305" s="624"/>
      <c r="I305" s="630"/>
      <c r="K305" s="633"/>
      <c r="M305" s="634"/>
      <c r="O305" s="769"/>
      <c r="Q305" s="627"/>
      <c r="R305" s="634"/>
      <c r="T305" s="624"/>
      <c r="W305" s="623"/>
      <c r="X305" s="623"/>
      <c r="Y305" s="633"/>
      <c r="Z305" s="624"/>
      <c r="AB305" s="630"/>
      <c r="AC305" s="630"/>
      <c r="AD305" s="630"/>
      <c r="AE305" s="630"/>
      <c r="AF305" s="630"/>
      <c r="AG305" s="630"/>
    </row>
    <row r="306" spans="1:33">
      <c r="A306" s="628"/>
      <c r="B306" s="628"/>
      <c r="C306" s="630"/>
      <c r="D306" s="628"/>
      <c r="E306" s="630"/>
      <c r="F306" s="629"/>
      <c r="G306" s="635"/>
      <c r="H306" s="624"/>
      <c r="I306" s="630"/>
      <c r="K306" s="633"/>
      <c r="M306" s="634"/>
      <c r="O306" s="769"/>
      <c r="Q306" s="627"/>
      <c r="R306" s="634"/>
      <c r="T306" s="624"/>
      <c r="W306" s="623"/>
      <c r="X306" s="623"/>
      <c r="Y306" s="633"/>
      <c r="Z306" s="624"/>
      <c r="AB306" s="630"/>
      <c r="AC306" s="630"/>
      <c r="AD306" s="630"/>
      <c r="AE306" s="630"/>
      <c r="AF306" s="630"/>
      <c r="AG306" s="630"/>
    </row>
    <row r="307" spans="1:33">
      <c r="A307" s="628"/>
      <c r="B307" s="628"/>
      <c r="C307" s="630"/>
      <c r="D307" s="628"/>
      <c r="E307" s="630"/>
      <c r="F307" s="629"/>
      <c r="G307" s="635"/>
      <c r="H307" s="624"/>
      <c r="I307" s="630"/>
      <c r="K307" s="633"/>
      <c r="M307" s="634"/>
      <c r="O307" s="769"/>
      <c r="Q307" s="627"/>
      <c r="R307" s="634"/>
      <c r="T307" s="624"/>
      <c r="W307" s="623"/>
      <c r="X307" s="623"/>
      <c r="Y307" s="633"/>
      <c r="Z307" s="624"/>
      <c r="AB307" s="630"/>
      <c r="AC307" s="630"/>
      <c r="AD307" s="630"/>
      <c r="AE307" s="630"/>
      <c r="AF307" s="630"/>
      <c r="AG307" s="630"/>
    </row>
    <row r="308" spans="1:33">
      <c r="A308" s="628"/>
      <c r="B308" s="628"/>
      <c r="C308" s="630"/>
      <c r="D308" s="628"/>
      <c r="E308" s="630"/>
      <c r="F308" s="629"/>
      <c r="G308" s="635"/>
      <c r="H308" s="624"/>
      <c r="I308" s="630"/>
      <c r="K308" s="633"/>
      <c r="M308" s="634"/>
      <c r="O308" s="769"/>
      <c r="Q308" s="627"/>
      <c r="R308" s="634"/>
      <c r="T308" s="624"/>
      <c r="W308" s="623"/>
      <c r="X308" s="623"/>
      <c r="Y308" s="633"/>
      <c r="Z308" s="624"/>
      <c r="AB308" s="630"/>
      <c r="AC308" s="630"/>
      <c r="AD308" s="630"/>
      <c r="AE308" s="630"/>
      <c r="AF308" s="630"/>
      <c r="AG308" s="630"/>
    </row>
    <row r="309" spans="1:33">
      <c r="A309" s="628"/>
      <c r="B309" s="628"/>
      <c r="C309" s="630"/>
      <c r="D309" s="628"/>
      <c r="E309" s="630"/>
      <c r="F309" s="629"/>
      <c r="G309" s="635"/>
      <c r="H309" s="624"/>
      <c r="I309" s="630"/>
      <c r="K309" s="633"/>
      <c r="M309" s="634"/>
      <c r="O309" s="769"/>
      <c r="Q309" s="627"/>
      <c r="R309" s="634"/>
      <c r="T309" s="624"/>
      <c r="W309" s="623"/>
      <c r="X309" s="623"/>
      <c r="Y309" s="633"/>
      <c r="Z309" s="624"/>
      <c r="AB309" s="630"/>
      <c r="AC309" s="630"/>
      <c r="AD309" s="630"/>
      <c r="AE309" s="630"/>
      <c r="AF309" s="630"/>
      <c r="AG309" s="630"/>
    </row>
    <row r="310" spans="1:33">
      <c r="A310" s="628"/>
      <c r="B310" s="628"/>
      <c r="C310" s="630"/>
      <c r="D310" s="628"/>
      <c r="E310" s="630"/>
      <c r="F310" s="629"/>
      <c r="G310" s="635"/>
      <c r="H310" s="624"/>
      <c r="I310" s="630"/>
      <c r="K310" s="633"/>
      <c r="M310" s="634"/>
      <c r="O310" s="769"/>
      <c r="Q310" s="627"/>
      <c r="R310" s="634"/>
      <c r="T310" s="624"/>
      <c r="W310" s="623"/>
      <c r="X310" s="623"/>
      <c r="Y310" s="633"/>
      <c r="Z310" s="624"/>
      <c r="AB310" s="630"/>
      <c r="AC310" s="630"/>
      <c r="AD310" s="630"/>
      <c r="AE310" s="630"/>
      <c r="AF310" s="630"/>
      <c r="AG310" s="630"/>
    </row>
    <row r="311" spans="1:33">
      <c r="A311" s="628"/>
      <c r="B311" s="628"/>
      <c r="C311" s="630"/>
      <c r="D311" s="628"/>
      <c r="E311" s="630"/>
      <c r="F311" s="629"/>
      <c r="G311" s="635"/>
      <c r="H311" s="624"/>
      <c r="I311" s="630"/>
      <c r="K311" s="633"/>
      <c r="M311" s="634"/>
      <c r="O311" s="769"/>
      <c r="Q311" s="627"/>
      <c r="R311" s="634"/>
      <c r="T311" s="624"/>
      <c r="W311" s="623"/>
      <c r="X311" s="623"/>
      <c r="Y311" s="633"/>
      <c r="Z311" s="624"/>
      <c r="AB311" s="630"/>
      <c r="AC311" s="630"/>
      <c r="AD311" s="630"/>
      <c r="AE311" s="630"/>
      <c r="AF311" s="630"/>
      <c r="AG311" s="630"/>
    </row>
    <row r="312" spans="1:33">
      <c r="A312" s="628"/>
      <c r="B312" s="628"/>
      <c r="C312" s="630"/>
      <c r="D312" s="628"/>
      <c r="E312" s="630"/>
      <c r="F312" s="629"/>
      <c r="G312" s="635"/>
      <c r="H312" s="624"/>
      <c r="I312" s="630"/>
      <c r="K312" s="633"/>
      <c r="M312" s="634"/>
      <c r="O312" s="769"/>
      <c r="Q312" s="627"/>
      <c r="R312" s="634"/>
      <c r="T312" s="624"/>
      <c r="W312" s="623"/>
      <c r="X312" s="623"/>
      <c r="Y312" s="633"/>
      <c r="Z312" s="624"/>
      <c r="AB312" s="630"/>
      <c r="AC312" s="630"/>
      <c r="AD312" s="630"/>
      <c r="AE312" s="630"/>
      <c r="AF312" s="630"/>
      <c r="AG312" s="630"/>
    </row>
    <row r="313" spans="1:33">
      <c r="A313" s="628"/>
      <c r="B313" s="628"/>
      <c r="C313" s="630"/>
      <c r="D313" s="628"/>
      <c r="E313" s="630"/>
      <c r="F313" s="629"/>
      <c r="G313" s="635"/>
      <c r="H313" s="624"/>
      <c r="I313" s="630"/>
      <c r="K313" s="633"/>
      <c r="M313" s="634"/>
      <c r="O313" s="769"/>
      <c r="Q313" s="627"/>
      <c r="R313" s="634"/>
      <c r="T313" s="624"/>
      <c r="W313" s="623"/>
      <c r="X313" s="623"/>
      <c r="Y313" s="633"/>
      <c r="Z313" s="624"/>
      <c r="AB313" s="630"/>
      <c r="AC313" s="630"/>
      <c r="AD313" s="630"/>
      <c r="AE313" s="630"/>
      <c r="AF313" s="630"/>
      <c r="AG313" s="630"/>
    </row>
    <row r="314" spans="1:33">
      <c r="A314" s="628"/>
      <c r="B314" s="628"/>
      <c r="C314" s="630"/>
      <c r="D314" s="628"/>
      <c r="E314" s="630"/>
      <c r="F314" s="629"/>
      <c r="G314" s="635"/>
      <c r="H314" s="624"/>
      <c r="I314" s="630"/>
      <c r="K314" s="633"/>
      <c r="M314" s="634"/>
      <c r="O314" s="769"/>
      <c r="Q314" s="627"/>
      <c r="R314" s="634"/>
      <c r="T314" s="624"/>
      <c r="W314" s="623"/>
      <c r="X314" s="623"/>
      <c r="Y314" s="633"/>
      <c r="Z314" s="624"/>
      <c r="AB314" s="630"/>
      <c r="AC314" s="630"/>
      <c r="AD314" s="630"/>
      <c r="AE314" s="630"/>
      <c r="AF314" s="630"/>
      <c r="AG314" s="630"/>
    </row>
    <row r="315" spans="1:33">
      <c r="A315" s="628"/>
      <c r="B315" s="628"/>
      <c r="C315" s="630"/>
      <c r="D315" s="628"/>
      <c r="E315" s="630"/>
      <c r="F315" s="629"/>
      <c r="G315" s="635"/>
      <c r="H315" s="624"/>
      <c r="I315" s="630"/>
      <c r="K315" s="633"/>
      <c r="M315" s="634"/>
      <c r="O315" s="769"/>
      <c r="Q315" s="627"/>
      <c r="R315" s="634"/>
      <c r="T315" s="624"/>
      <c r="W315" s="623"/>
      <c r="X315" s="623"/>
      <c r="Y315" s="633"/>
      <c r="Z315" s="624"/>
      <c r="AB315" s="630"/>
      <c r="AC315" s="630"/>
      <c r="AD315" s="630"/>
      <c r="AE315" s="630"/>
      <c r="AF315" s="630"/>
      <c r="AG315" s="630"/>
    </row>
    <row r="316" spans="1:33">
      <c r="A316" s="628"/>
      <c r="B316" s="628"/>
      <c r="C316" s="630"/>
      <c r="D316" s="628"/>
      <c r="E316" s="630"/>
      <c r="F316" s="629"/>
      <c r="G316" s="635"/>
      <c r="H316" s="624"/>
      <c r="I316" s="630"/>
      <c r="K316" s="633"/>
      <c r="M316" s="634"/>
      <c r="O316" s="769"/>
      <c r="Q316" s="627"/>
      <c r="R316" s="634"/>
      <c r="T316" s="624"/>
      <c r="W316" s="623"/>
      <c r="X316" s="623"/>
      <c r="Y316" s="633"/>
      <c r="Z316" s="624"/>
      <c r="AB316" s="630"/>
      <c r="AC316" s="630"/>
      <c r="AD316" s="630"/>
      <c r="AE316" s="630"/>
      <c r="AF316" s="630"/>
      <c r="AG316" s="630"/>
    </row>
    <row r="317" spans="1:33">
      <c r="A317" s="628"/>
      <c r="B317" s="628"/>
      <c r="C317" s="630"/>
      <c r="D317" s="628"/>
      <c r="E317" s="630"/>
      <c r="F317" s="629"/>
      <c r="G317" s="635"/>
      <c r="H317" s="624"/>
      <c r="I317" s="630"/>
      <c r="K317" s="633"/>
      <c r="M317" s="634"/>
      <c r="O317" s="769"/>
      <c r="Q317" s="627"/>
      <c r="R317" s="634"/>
      <c r="T317" s="624"/>
      <c r="W317" s="623"/>
      <c r="X317" s="623"/>
      <c r="Y317" s="633"/>
      <c r="Z317" s="624"/>
      <c r="AB317" s="630"/>
      <c r="AC317" s="630"/>
      <c r="AD317" s="630"/>
      <c r="AE317" s="630"/>
      <c r="AF317" s="630"/>
      <c r="AG317" s="630"/>
    </row>
    <row r="318" spans="1:33">
      <c r="A318" s="628"/>
      <c r="B318" s="628"/>
      <c r="C318" s="630"/>
      <c r="D318" s="628"/>
      <c r="E318" s="630"/>
      <c r="F318" s="629"/>
      <c r="G318" s="635"/>
      <c r="H318" s="624"/>
      <c r="I318" s="630"/>
      <c r="K318" s="633"/>
      <c r="M318" s="634"/>
      <c r="O318" s="769"/>
      <c r="Q318" s="627"/>
      <c r="R318" s="634"/>
      <c r="T318" s="624"/>
      <c r="W318" s="623"/>
      <c r="X318" s="623"/>
      <c r="Y318" s="633"/>
      <c r="Z318" s="624"/>
      <c r="AB318" s="630"/>
      <c r="AC318" s="630"/>
      <c r="AD318" s="630"/>
      <c r="AE318" s="630"/>
      <c r="AF318" s="630"/>
      <c r="AG318" s="630"/>
    </row>
    <row r="319" spans="1:33">
      <c r="A319" s="628"/>
      <c r="B319" s="628"/>
      <c r="C319" s="630"/>
      <c r="D319" s="628"/>
      <c r="E319" s="630"/>
      <c r="F319" s="629"/>
      <c r="G319" s="635"/>
      <c r="H319" s="624"/>
      <c r="I319" s="630"/>
      <c r="K319" s="633"/>
      <c r="M319" s="634"/>
      <c r="O319" s="769"/>
      <c r="Q319" s="627"/>
      <c r="R319" s="634"/>
      <c r="T319" s="624"/>
      <c r="W319" s="623"/>
      <c r="X319" s="623"/>
      <c r="Y319" s="633"/>
      <c r="Z319" s="624"/>
      <c r="AB319" s="630"/>
      <c r="AC319" s="630"/>
      <c r="AD319" s="630"/>
      <c r="AE319" s="630"/>
      <c r="AF319" s="630"/>
      <c r="AG319" s="630"/>
    </row>
    <row r="320" spans="1:33">
      <c r="A320" s="628"/>
      <c r="B320" s="628"/>
      <c r="C320" s="630"/>
      <c r="D320" s="628"/>
      <c r="E320" s="630"/>
      <c r="F320" s="629"/>
      <c r="G320" s="635"/>
      <c r="H320" s="624"/>
      <c r="I320" s="630"/>
      <c r="K320" s="633"/>
      <c r="M320" s="634"/>
      <c r="O320" s="769"/>
      <c r="Q320" s="627"/>
      <c r="R320" s="634"/>
      <c r="T320" s="624"/>
      <c r="W320" s="623"/>
      <c r="X320" s="623"/>
      <c r="Y320" s="633"/>
      <c r="Z320" s="624"/>
      <c r="AB320" s="630"/>
      <c r="AC320" s="630"/>
      <c r="AD320" s="630"/>
      <c r="AE320" s="630"/>
      <c r="AF320" s="630"/>
      <c r="AG320" s="630"/>
    </row>
    <row r="321" spans="1:33">
      <c r="A321" s="628"/>
      <c r="B321" s="628"/>
      <c r="C321" s="630"/>
      <c r="D321" s="628"/>
      <c r="E321" s="630"/>
      <c r="F321" s="629"/>
      <c r="G321" s="635"/>
      <c r="H321" s="624"/>
      <c r="I321" s="630"/>
      <c r="K321" s="633"/>
      <c r="M321" s="634"/>
      <c r="O321" s="769"/>
      <c r="Q321" s="627"/>
      <c r="R321" s="634"/>
      <c r="T321" s="624"/>
      <c r="W321" s="623"/>
      <c r="X321" s="623"/>
      <c r="Y321" s="633"/>
      <c r="Z321" s="624"/>
      <c r="AB321" s="630"/>
      <c r="AC321" s="630"/>
      <c r="AD321" s="630"/>
      <c r="AE321" s="630"/>
      <c r="AF321" s="630"/>
      <c r="AG321" s="630"/>
    </row>
    <row r="322" spans="1:33">
      <c r="A322" s="628"/>
      <c r="B322" s="628"/>
      <c r="C322" s="630"/>
      <c r="D322" s="628"/>
      <c r="E322" s="630"/>
      <c r="F322" s="629"/>
      <c r="G322" s="635"/>
      <c r="H322" s="624"/>
      <c r="I322" s="630"/>
      <c r="K322" s="633"/>
      <c r="M322" s="634"/>
      <c r="O322" s="769"/>
      <c r="Q322" s="627"/>
      <c r="R322" s="634"/>
      <c r="T322" s="624"/>
      <c r="W322" s="623"/>
      <c r="X322" s="623"/>
      <c r="Y322" s="633"/>
      <c r="Z322" s="624"/>
      <c r="AB322" s="630"/>
      <c r="AC322" s="630"/>
      <c r="AD322" s="630"/>
      <c r="AE322" s="630"/>
      <c r="AF322" s="630"/>
      <c r="AG322" s="630"/>
    </row>
    <row r="323" spans="1:33">
      <c r="A323" s="628"/>
      <c r="B323" s="628"/>
      <c r="C323" s="630"/>
      <c r="D323" s="628"/>
      <c r="E323" s="630"/>
      <c r="F323" s="629"/>
      <c r="G323" s="635"/>
      <c r="H323" s="624"/>
      <c r="I323" s="630"/>
      <c r="K323" s="633"/>
      <c r="M323" s="634"/>
      <c r="O323" s="769"/>
      <c r="Q323" s="627"/>
      <c r="R323" s="634"/>
      <c r="T323" s="624"/>
      <c r="W323" s="623"/>
      <c r="X323" s="623"/>
      <c r="Y323" s="633"/>
      <c r="Z323" s="624"/>
      <c r="AB323" s="630"/>
      <c r="AC323" s="630"/>
      <c r="AD323" s="630"/>
      <c r="AE323" s="630"/>
      <c r="AF323" s="630"/>
      <c r="AG323" s="630"/>
    </row>
    <row r="324" spans="1:33">
      <c r="A324" s="628"/>
      <c r="B324" s="628"/>
      <c r="C324" s="630"/>
      <c r="D324" s="628"/>
      <c r="E324" s="630"/>
      <c r="F324" s="629"/>
      <c r="G324" s="635"/>
      <c r="H324" s="624"/>
      <c r="I324" s="630"/>
      <c r="K324" s="633"/>
      <c r="M324" s="634"/>
      <c r="O324" s="769"/>
      <c r="Q324" s="627"/>
      <c r="R324" s="634"/>
      <c r="T324" s="624"/>
      <c r="W324" s="623"/>
      <c r="X324" s="623"/>
      <c r="Y324" s="633"/>
      <c r="Z324" s="624"/>
      <c r="AB324" s="630"/>
      <c r="AC324" s="630"/>
      <c r="AD324" s="630"/>
      <c r="AE324" s="630"/>
      <c r="AF324" s="630"/>
      <c r="AG324" s="630"/>
    </row>
    <row r="325" spans="1:33">
      <c r="A325" s="628"/>
      <c r="B325" s="628"/>
      <c r="C325" s="630"/>
      <c r="D325" s="628"/>
      <c r="E325" s="630"/>
      <c r="F325" s="629"/>
      <c r="G325" s="635"/>
      <c r="H325" s="624"/>
      <c r="I325" s="630"/>
      <c r="K325" s="633"/>
      <c r="M325" s="634"/>
      <c r="O325" s="769"/>
      <c r="Q325" s="627"/>
      <c r="R325" s="634"/>
      <c r="T325" s="624"/>
      <c r="W325" s="623"/>
      <c r="X325" s="623"/>
      <c r="Y325" s="633"/>
      <c r="Z325" s="624"/>
      <c r="AB325" s="630"/>
      <c r="AC325" s="630"/>
      <c r="AD325" s="630"/>
      <c r="AE325" s="630"/>
      <c r="AF325" s="630"/>
      <c r="AG325" s="630"/>
    </row>
    <row r="326" spans="1:33">
      <c r="A326" s="628"/>
      <c r="B326" s="628"/>
      <c r="C326" s="630"/>
      <c r="D326" s="628"/>
      <c r="E326" s="630"/>
      <c r="F326" s="629"/>
      <c r="G326" s="635"/>
      <c r="H326" s="624"/>
      <c r="I326" s="630"/>
      <c r="K326" s="633"/>
      <c r="M326" s="634"/>
      <c r="O326" s="769"/>
      <c r="Q326" s="627"/>
      <c r="R326" s="634"/>
      <c r="T326" s="624"/>
      <c r="W326" s="623"/>
      <c r="X326" s="623"/>
      <c r="Y326" s="633"/>
      <c r="Z326" s="624"/>
      <c r="AB326" s="630"/>
      <c r="AC326" s="630"/>
      <c r="AD326" s="630"/>
      <c r="AE326" s="630"/>
      <c r="AF326" s="630"/>
      <c r="AG326" s="630"/>
    </row>
    <row r="327" spans="1:33">
      <c r="A327" s="628"/>
      <c r="B327" s="628"/>
      <c r="C327" s="630"/>
      <c r="D327" s="628"/>
      <c r="E327" s="630"/>
      <c r="F327" s="629"/>
      <c r="G327" s="635"/>
      <c r="H327" s="624"/>
      <c r="I327" s="630"/>
      <c r="K327" s="633"/>
      <c r="M327" s="634"/>
      <c r="O327" s="769"/>
      <c r="Q327" s="627"/>
      <c r="R327" s="634"/>
      <c r="T327" s="624"/>
      <c r="W327" s="623"/>
      <c r="X327" s="623"/>
      <c r="Y327" s="633"/>
      <c r="Z327" s="624"/>
      <c r="AB327" s="630"/>
      <c r="AC327" s="630"/>
      <c r="AD327" s="630"/>
      <c r="AE327" s="630"/>
      <c r="AF327" s="630"/>
      <c r="AG327" s="630"/>
    </row>
    <row r="328" spans="1:33">
      <c r="A328" s="628"/>
      <c r="B328" s="628"/>
      <c r="C328" s="630"/>
      <c r="D328" s="628"/>
      <c r="E328" s="630"/>
      <c r="F328" s="629"/>
      <c r="G328" s="635"/>
      <c r="H328" s="624"/>
      <c r="I328" s="630"/>
      <c r="K328" s="633"/>
      <c r="M328" s="634"/>
      <c r="O328" s="769"/>
      <c r="Q328" s="627"/>
      <c r="R328" s="634"/>
      <c r="T328" s="624"/>
      <c r="W328" s="623"/>
      <c r="X328" s="623"/>
      <c r="Y328" s="633"/>
      <c r="Z328" s="624"/>
      <c r="AB328" s="630"/>
      <c r="AC328" s="630"/>
      <c r="AD328" s="630"/>
      <c r="AE328" s="630"/>
      <c r="AF328" s="630"/>
      <c r="AG328" s="630"/>
    </row>
    <row r="329" spans="1:33">
      <c r="A329" s="628"/>
      <c r="B329" s="628"/>
      <c r="C329" s="630"/>
      <c r="D329" s="628"/>
      <c r="E329" s="630"/>
      <c r="F329" s="629"/>
      <c r="G329" s="635"/>
      <c r="H329" s="624"/>
      <c r="I329" s="630"/>
      <c r="K329" s="633"/>
      <c r="M329" s="634"/>
      <c r="O329" s="769"/>
      <c r="Q329" s="627"/>
      <c r="R329" s="634"/>
      <c r="T329" s="624"/>
      <c r="W329" s="623"/>
      <c r="X329" s="623"/>
      <c r="Y329" s="633"/>
      <c r="Z329" s="624"/>
      <c r="AB329" s="630"/>
      <c r="AC329" s="630"/>
      <c r="AD329" s="630"/>
      <c r="AE329" s="630"/>
      <c r="AF329" s="630"/>
      <c r="AG329" s="630"/>
    </row>
    <row r="330" spans="1:33">
      <c r="A330" s="628"/>
      <c r="B330" s="628"/>
      <c r="C330" s="630"/>
      <c r="D330" s="628"/>
      <c r="E330" s="630"/>
      <c r="F330" s="629"/>
      <c r="G330" s="635"/>
      <c r="H330" s="624"/>
      <c r="I330" s="630"/>
      <c r="K330" s="633"/>
      <c r="M330" s="634"/>
      <c r="O330" s="769"/>
      <c r="Q330" s="627"/>
      <c r="R330" s="634"/>
      <c r="T330" s="624"/>
      <c r="W330" s="623"/>
      <c r="X330" s="623"/>
      <c r="Y330" s="633"/>
      <c r="Z330" s="624"/>
      <c r="AB330" s="630"/>
      <c r="AC330" s="630"/>
      <c r="AD330" s="630"/>
      <c r="AE330" s="630"/>
      <c r="AF330" s="630"/>
      <c r="AG330" s="630"/>
    </row>
    <row r="331" spans="1:33">
      <c r="A331" s="628"/>
      <c r="B331" s="628"/>
      <c r="C331" s="630"/>
      <c r="D331" s="628"/>
      <c r="E331" s="630"/>
      <c r="F331" s="629"/>
      <c r="G331" s="635"/>
      <c r="H331" s="624"/>
      <c r="I331" s="630"/>
      <c r="K331" s="633"/>
      <c r="M331" s="634"/>
      <c r="O331" s="769"/>
      <c r="Q331" s="627"/>
      <c r="R331" s="634"/>
      <c r="T331" s="624"/>
      <c r="W331" s="623"/>
      <c r="X331" s="623"/>
      <c r="Y331" s="633"/>
      <c r="Z331" s="624"/>
      <c r="AB331" s="630"/>
      <c r="AC331" s="630"/>
      <c r="AD331" s="630"/>
      <c r="AE331" s="630"/>
      <c r="AF331" s="630"/>
      <c r="AG331" s="630"/>
    </row>
    <row r="332" spans="1:33">
      <c r="A332" s="628"/>
      <c r="B332" s="628"/>
      <c r="C332" s="630"/>
      <c r="D332" s="628"/>
      <c r="E332" s="630"/>
      <c r="F332" s="629"/>
      <c r="G332" s="635"/>
      <c r="H332" s="624"/>
      <c r="I332" s="630"/>
      <c r="K332" s="633"/>
      <c r="M332" s="634"/>
      <c r="O332" s="769"/>
      <c r="Q332" s="627"/>
      <c r="R332" s="634"/>
      <c r="T332" s="624"/>
      <c r="W332" s="623"/>
      <c r="X332" s="623"/>
      <c r="Y332" s="633"/>
      <c r="Z332" s="624"/>
      <c r="AB332" s="630"/>
      <c r="AC332" s="630"/>
      <c r="AD332" s="630"/>
      <c r="AE332" s="630"/>
      <c r="AF332" s="630"/>
      <c r="AG332" s="630"/>
    </row>
    <row r="333" spans="1:33">
      <c r="A333" s="628"/>
      <c r="B333" s="628"/>
      <c r="C333" s="630"/>
      <c r="D333" s="628"/>
      <c r="E333" s="630"/>
      <c r="F333" s="629"/>
      <c r="G333" s="635"/>
      <c r="H333" s="624"/>
      <c r="I333" s="630"/>
      <c r="K333" s="633"/>
      <c r="M333" s="634"/>
      <c r="O333" s="769"/>
      <c r="Q333" s="627"/>
      <c r="R333" s="634"/>
      <c r="T333" s="624"/>
      <c r="W333" s="623"/>
      <c r="X333" s="623"/>
      <c r="Y333" s="633"/>
      <c r="Z333" s="624"/>
      <c r="AB333" s="630"/>
      <c r="AC333" s="630"/>
      <c r="AD333" s="630"/>
      <c r="AE333" s="630"/>
      <c r="AF333" s="630"/>
      <c r="AG333" s="630"/>
    </row>
    <row r="334" spans="1:33">
      <c r="A334" s="628"/>
      <c r="B334" s="628"/>
      <c r="C334" s="630"/>
      <c r="D334" s="628"/>
      <c r="E334" s="630"/>
      <c r="F334" s="629"/>
      <c r="G334" s="635"/>
      <c r="H334" s="624"/>
      <c r="I334" s="630"/>
      <c r="K334" s="633"/>
      <c r="M334" s="634"/>
      <c r="O334" s="769"/>
      <c r="Q334" s="627"/>
      <c r="R334" s="634"/>
      <c r="T334" s="624"/>
      <c r="W334" s="623"/>
      <c r="X334" s="623"/>
      <c r="Y334" s="633"/>
      <c r="Z334" s="624"/>
      <c r="AB334" s="630"/>
      <c r="AC334" s="630"/>
      <c r="AD334" s="630"/>
      <c r="AE334" s="630"/>
      <c r="AF334" s="630"/>
      <c r="AG334" s="630"/>
    </row>
    <row r="335" spans="1:33">
      <c r="A335" s="628"/>
      <c r="B335" s="628"/>
      <c r="C335" s="630"/>
      <c r="D335" s="628"/>
      <c r="E335" s="630"/>
      <c r="F335" s="629"/>
      <c r="G335" s="635"/>
      <c r="H335" s="624"/>
      <c r="I335" s="630"/>
      <c r="K335" s="633"/>
      <c r="M335" s="634"/>
      <c r="O335" s="769"/>
      <c r="Q335" s="627"/>
      <c r="R335" s="634"/>
      <c r="T335" s="624"/>
      <c r="W335" s="623"/>
      <c r="X335" s="623"/>
      <c r="Y335" s="633"/>
      <c r="Z335" s="624"/>
      <c r="AB335" s="630"/>
      <c r="AC335" s="630"/>
      <c r="AD335" s="630"/>
      <c r="AE335" s="630"/>
      <c r="AF335" s="630"/>
      <c r="AG335" s="630"/>
    </row>
    <row r="336" spans="1:33">
      <c r="A336" s="628"/>
      <c r="B336" s="628"/>
      <c r="C336" s="630"/>
      <c r="D336" s="628"/>
      <c r="E336" s="630"/>
      <c r="F336" s="629"/>
      <c r="G336" s="635"/>
      <c r="H336" s="624"/>
      <c r="I336" s="630"/>
      <c r="K336" s="633"/>
      <c r="M336" s="634"/>
      <c r="O336" s="769"/>
      <c r="Q336" s="627"/>
      <c r="R336" s="634"/>
      <c r="T336" s="624"/>
      <c r="W336" s="623"/>
      <c r="X336" s="623"/>
      <c r="Y336" s="633"/>
      <c r="Z336" s="624"/>
      <c r="AB336" s="630"/>
      <c r="AC336" s="630"/>
      <c r="AD336" s="630"/>
      <c r="AE336" s="630"/>
      <c r="AF336" s="630"/>
      <c r="AG336" s="630"/>
    </row>
    <row r="337" spans="1:33">
      <c r="A337" s="628"/>
      <c r="B337" s="628"/>
      <c r="C337" s="630"/>
      <c r="D337" s="628"/>
      <c r="E337" s="630"/>
      <c r="F337" s="629"/>
      <c r="G337" s="635"/>
      <c r="H337" s="624"/>
      <c r="I337" s="630"/>
      <c r="K337" s="633"/>
      <c r="M337" s="634"/>
      <c r="O337" s="769"/>
      <c r="Q337" s="627"/>
      <c r="R337" s="634"/>
      <c r="T337" s="624"/>
      <c r="W337" s="623"/>
      <c r="X337" s="623"/>
      <c r="Y337" s="633"/>
      <c r="Z337" s="624"/>
      <c r="AB337" s="630"/>
      <c r="AC337" s="630"/>
      <c r="AD337" s="630"/>
      <c r="AE337" s="630"/>
      <c r="AF337" s="630"/>
      <c r="AG337" s="630"/>
    </row>
    <row r="338" spans="1:33">
      <c r="A338" s="628"/>
      <c r="B338" s="628"/>
      <c r="C338" s="630"/>
      <c r="D338" s="628"/>
      <c r="E338" s="630"/>
      <c r="F338" s="629"/>
      <c r="G338" s="635"/>
      <c r="H338" s="624"/>
      <c r="I338" s="630"/>
      <c r="K338" s="633"/>
      <c r="M338" s="634"/>
      <c r="O338" s="769"/>
      <c r="Q338" s="627"/>
      <c r="R338" s="634"/>
      <c r="T338" s="624"/>
      <c r="W338" s="623"/>
      <c r="X338" s="623"/>
      <c r="Y338" s="633"/>
      <c r="Z338" s="624"/>
      <c r="AB338" s="630"/>
      <c r="AC338" s="630"/>
      <c r="AD338" s="630"/>
      <c r="AE338" s="630"/>
      <c r="AF338" s="630"/>
      <c r="AG338" s="630"/>
    </row>
    <row r="339" spans="1:33">
      <c r="A339" s="628"/>
      <c r="B339" s="628"/>
      <c r="C339" s="630"/>
      <c r="D339" s="628"/>
      <c r="E339" s="630"/>
      <c r="F339" s="629"/>
      <c r="G339" s="635"/>
      <c r="H339" s="624"/>
      <c r="I339" s="630"/>
      <c r="K339" s="633"/>
      <c r="M339" s="634"/>
      <c r="O339" s="769"/>
      <c r="Q339" s="627"/>
      <c r="R339" s="634"/>
      <c r="T339" s="624"/>
      <c r="W339" s="623"/>
      <c r="X339" s="623"/>
      <c r="Y339" s="633"/>
      <c r="Z339" s="624"/>
      <c r="AB339" s="630"/>
      <c r="AC339" s="630"/>
      <c r="AD339" s="630"/>
      <c r="AE339" s="630"/>
      <c r="AF339" s="630"/>
      <c r="AG339" s="630"/>
    </row>
    <row r="340" spans="1:33">
      <c r="A340" s="628"/>
      <c r="B340" s="628"/>
      <c r="C340" s="630"/>
      <c r="D340" s="628"/>
      <c r="E340" s="630"/>
      <c r="F340" s="629"/>
      <c r="G340" s="635"/>
      <c r="H340" s="624"/>
      <c r="I340" s="630"/>
      <c r="K340" s="633"/>
      <c r="M340" s="634"/>
      <c r="O340" s="769"/>
      <c r="Q340" s="627"/>
      <c r="R340" s="634"/>
      <c r="T340" s="624"/>
      <c r="W340" s="623"/>
      <c r="X340" s="623"/>
      <c r="Y340" s="633"/>
      <c r="Z340" s="624"/>
      <c r="AB340" s="630"/>
      <c r="AC340" s="630"/>
      <c r="AD340" s="630"/>
      <c r="AE340" s="630"/>
      <c r="AF340" s="630"/>
      <c r="AG340" s="630"/>
    </row>
    <row r="341" spans="1:33">
      <c r="A341" s="628"/>
      <c r="B341" s="628"/>
      <c r="C341" s="630"/>
      <c r="D341" s="628"/>
      <c r="E341" s="630"/>
      <c r="F341" s="629"/>
      <c r="G341" s="635"/>
      <c r="H341" s="624"/>
      <c r="I341" s="630"/>
      <c r="K341" s="633"/>
      <c r="M341" s="634"/>
      <c r="O341" s="769"/>
      <c r="Q341" s="627"/>
      <c r="R341" s="634"/>
      <c r="T341" s="624"/>
      <c r="W341" s="623"/>
      <c r="X341" s="623"/>
      <c r="Y341" s="633"/>
      <c r="Z341" s="624"/>
      <c r="AB341" s="630"/>
      <c r="AC341" s="630"/>
      <c r="AD341" s="630"/>
      <c r="AE341" s="630"/>
      <c r="AF341" s="630"/>
      <c r="AG341" s="630"/>
    </row>
    <row r="342" spans="1:33">
      <c r="A342" s="628"/>
      <c r="B342" s="628"/>
      <c r="C342" s="630"/>
      <c r="D342" s="628"/>
      <c r="E342" s="630"/>
      <c r="F342" s="629"/>
      <c r="G342" s="635"/>
      <c r="H342" s="624"/>
      <c r="I342" s="630"/>
      <c r="K342" s="633"/>
      <c r="M342" s="634"/>
      <c r="O342" s="769"/>
      <c r="Q342" s="627"/>
      <c r="R342" s="634"/>
      <c r="T342" s="624"/>
      <c r="W342" s="623"/>
      <c r="X342" s="623"/>
      <c r="Y342" s="633"/>
      <c r="Z342" s="624"/>
      <c r="AB342" s="630"/>
      <c r="AC342" s="630"/>
      <c r="AD342" s="630"/>
      <c r="AE342" s="630"/>
      <c r="AF342" s="630"/>
      <c r="AG342" s="630"/>
    </row>
    <row r="343" spans="1:33">
      <c r="A343" s="628"/>
      <c r="B343" s="628"/>
      <c r="C343" s="630"/>
      <c r="D343" s="628"/>
      <c r="E343" s="630"/>
      <c r="F343" s="629"/>
      <c r="G343" s="635"/>
      <c r="H343" s="624"/>
      <c r="I343" s="630"/>
      <c r="K343" s="633"/>
      <c r="M343" s="634"/>
      <c r="O343" s="769"/>
      <c r="Q343" s="627"/>
      <c r="R343" s="634"/>
      <c r="T343" s="624"/>
      <c r="W343" s="623"/>
      <c r="X343" s="623"/>
      <c r="Y343" s="633"/>
      <c r="Z343" s="624"/>
      <c r="AB343" s="630"/>
      <c r="AC343" s="630"/>
      <c r="AD343" s="630"/>
      <c r="AE343" s="630"/>
      <c r="AF343" s="630"/>
      <c r="AG343" s="630"/>
    </row>
    <row r="344" spans="1:33">
      <c r="A344" s="628"/>
      <c r="B344" s="628"/>
      <c r="C344" s="630"/>
      <c r="D344" s="628"/>
      <c r="E344" s="630"/>
      <c r="F344" s="629"/>
      <c r="G344" s="635"/>
      <c r="H344" s="624"/>
      <c r="I344" s="630"/>
      <c r="K344" s="633"/>
      <c r="M344" s="634"/>
      <c r="O344" s="769"/>
      <c r="Q344" s="627"/>
      <c r="R344" s="634"/>
      <c r="T344" s="624"/>
      <c r="W344" s="623"/>
      <c r="X344" s="623"/>
      <c r="Y344" s="633"/>
      <c r="Z344" s="624"/>
      <c r="AB344" s="630"/>
      <c r="AC344" s="630"/>
      <c r="AD344" s="630"/>
      <c r="AE344" s="630"/>
      <c r="AF344" s="630"/>
      <c r="AG344" s="630"/>
    </row>
    <row r="345" spans="1:33">
      <c r="A345" s="628"/>
      <c r="B345" s="628"/>
      <c r="C345" s="630"/>
      <c r="D345" s="628"/>
      <c r="E345" s="630"/>
      <c r="F345" s="629"/>
      <c r="G345" s="635"/>
      <c r="H345" s="624"/>
      <c r="I345" s="630"/>
      <c r="K345" s="633"/>
      <c r="M345" s="634"/>
      <c r="O345" s="769"/>
      <c r="Q345" s="627"/>
      <c r="R345" s="634"/>
      <c r="T345" s="624"/>
      <c r="W345" s="623"/>
      <c r="X345" s="623"/>
      <c r="Y345" s="633"/>
      <c r="Z345" s="624"/>
      <c r="AB345" s="630"/>
      <c r="AC345" s="630"/>
      <c r="AD345" s="630"/>
      <c r="AE345" s="630"/>
      <c r="AF345" s="630"/>
      <c r="AG345" s="630"/>
    </row>
    <row r="346" spans="1:33">
      <c r="A346" s="628"/>
      <c r="B346" s="628"/>
      <c r="C346" s="630"/>
      <c r="D346" s="628"/>
      <c r="E346" s="630"/>
      <c r="F346" s="629"/>
      <c r="G346" s="635"/>
      <c r="H346" s="624"/>
      <c r="I346" s="630"/>
      <c r="K346" s="633"/>
      <c r="M346" s="634"/>
      <c r="O346" s="769"/>
      <c r="Q346" s="627"/>
      <c r="R346" s="634"/>
      <c r="T346" s="624"/>
      <c r="W346" s="623"/>
      <c r="X346" s="623"/>
      <c r="Y346" s="633"/>
      <c r="Z346" s="624"/>
      <c r="AB346" s="630"/>
      <c r="AC346" s="630"/>
      <c r="AD346" s="630"/>
      <c r="AE346" s="630"/>
      <c r="AF346" s="630"/>
      <c r="AG346" s="630"/>
    </row>
    <row r="347" spans="1:33">
      <c r="A347" s="628"/>
      <c r="B347" s="628"/>
      <c r="C347" s="630"/>
      <c r="D347" s="628"/>
      <c r="E347" s="630"/>
      <c r="F347" s="629"/>
      <c r="G347" s="635"/>
      <c r="H347" s="624"/>
      <c r="I347" s="630"/>
      <c r="K347" s="633"/>
      <c r="M347" s="634"/>
      <c r="O347" s="769"/>
      <c r="Q347" s="627"/>
      <c r="R347" s="634"/>
      <c r="T347" s="624"/>
      <c r="W347" s="623"/>
      <c r="X347" s="623"/>
      <c r="Y347" s="633"/>
      <c r="Z347" s="624"/>
      <c r="AB347" s="630"/>
      <c r="AC347" s="630"/>
      <c r="AD347" s="630"/>
      <c r="AE347" s="630"/>
      <c r="AF347" s="630"/>
      <c r="AG347" s="630"/>
    </row>
    <row r="348" spans="1:33">
      <c r="A348" s="628"/>
      <c r="B348" s="628"/>
      <c r="C348" s="630"/>
      <c r="D348" s="628"/>
      <c r="E348" s="630"/>
      <c r="F348" s="629"/>
      <c r="G348" s="635"/>
      <c r="H348" s="624"/>
      <c r="I348" s="630"/>
      <c r="K348" s="633"/>
      <c r="M348" s="634"/>
      <c r="O348" s="769"/>
      <c r="Q348" s="627"/>
      <c r="R348" s="634"/>
      <c r="T348" s="624"/>
      <c r="W348" s="623"/>
      <c r="X348" s="623"/>
      <c r="Y348" s="633"/>
      <c r="Z348" s="624"/>
      <c r="AB348" s="630"/>
      <c r="AC348" s="630"/>
      <c r="AD348" s="630"/>
      <c r="AE348" s="630"/>
      <c r="AF348" s="630"/>
      <c r="AG348" s="630"/>
    </row>
    <row r="349" spans="1:33">
      <c r="A349" s="628"/>
      <c r="B349" s="628"/>
      <c r="C349" s="630"/>
      <c r="D349" s="628"/>
      <c r="E349" s="630"/>
      <c r="F349" s="629"/>
      <c r="G349" s="635"/>
      <c r="H349" s="624"/>
      <c r="I349" s="630"/>
      <c r="K349" s="633"/>
      <c r="M349" s="634"/>
      <c r="O349" s="769"/>
      <c r="Q349" s="627"/>
      <c r="R349" s="634"/>
      <c r="T349" s="624"/>
      <c r="W349" s="623"/>
      <c r="X349" s="623"/>
      <c r="Y349" s="633"/>
      <c r="Z349" s="624"/>
      <c r="AB349" s="630"/>
      <c r="AC349" s="630"/>
      <c r="AD349" s="630"/>
      <c r="AE349" s="630"/>
      <c r="AF349" s="630"/>
      <c r="AG349" s="630"/>
    </row>
    <row r="350" spans="1:33">
      <c r="A350" s="628"/>
      <c r="B350" s="628"/>
      <c r="C350" s="630"/>
      <c r="D350" s="628"/>
      <c r="E350" s="630"/>
      <c r="F350" s="629"/>
      <c r="G350" s="635"/>
      <c r="H350" s="624"/>
      <c r="I350" s="630"/>
      <c r="K350" s="633"/>
      <c r="M350" s="634"/>
      <c r="O350" s="769"/>
      <c r="Q350" s="627"/>
      <c r="R350" s="634"/>
      <c r="T350" s="624"/>
      <c r="W350" s="623"/>
      <c r="X350" s="623"/>
      <c r="Y350" s="633"/>
      <c r="Z350" s="624"/>
      <c r="AB350" s="630"/>
      <c r="AC350" s="630"/>
      <c r="AD350" s="630"/>
      <c r="AE350" s="630"/>
      <c r="AF350" s="630"/>
      <c r="AG350" s="630"/>
    </row>
    <row r="351" spans="1:33">
      <c r="A351" s="628"/>
      <c r="B351" s="628"/>
      <c r="C351" s="630"/>
      <c r="D351" s="628"/>
      <c r="E351" s="630"/>
      <c r="F351" s="629"/>
      <c r="G351" s="635"/>
      <c r="H351" s="624"/>
      <c r="I351" s="630"/>
      <c r="K351" s="633"/>
      <c r="M351" s="634"/>
      <c r="O351" s="769"/>
      <c r="Q351" s="627"/>
      <c r="R351" s="634"/>
      <c r="T351" s="624"/>
      <c r="W351" s="623"/>
      <c r="X351" s="623"/>
      <c r="Y351" s="633"/>
      <c r="Z351" s="624"/>
      <c r="AB351" s="630"/>
      <c r="AC351" s="630"/>
      <c r="AD351" s="630"/>
      <c r="AE351" s="630"/>
      <c r="AF351" s="630"/>
      <c r="AG351" s="630"/>
    </row>
    <row r="352" spans="1:33">
      <c r="A352" s="628"/>
      <c r="B352" s="628"/>
      <c r="C352" s="630"/>
      <c r="D352" s="628"/>
      <c r="E352" s="630"/>
      <c r="F352" s="629"/>
      <c r="G352" s="635"/>
      <c r="H352" s="624"/>
      <c r="I352" s="630"/>
      <c r="K352" s="633"/>
      <c r="M352" s="634"/>
      <c r="O352" s="769"/>
      <c r="Q352" s="627"/>
      <c r="R352" s="634"/>
      <c r="T352" s="624"/>
      <c r="W352" s="623"/>
      <c r="X352" s="623"/>
      <c r="Y352" s="633"/>
      <c r="Z352" s="624"/>
      <c r="AB352" s="630"/>
      <c r="AC352" s="630"/>
      <c r="AD352" s="630"/>
      <c r="AE352" s="630"/>
      <c r="AF352" s="630"/>
      <c r="AG352" s="630"/>
    </row>
    <row r="353" spans="1:33">
      <c r="A353" s="628"/>
      <c r="B353" s="628"/>
      <c r="C353" s="630"/>
      <c r="D353" s="628"/>
      <c r="E353" s="630"/>
      <c r="F353" s="629"/>
      <c r="G353" s="635"/>
      <c r="H353" s="624"/>
      <c r="I353" s="630"/>
      <c r="K353" s="633"/>
      <c r="M353" s="634"/>
      <c r="O353" s="769"/>
      <c r="Q353" s="627"/>
      <c r="R353" s="634"/>
      <c r="T353" s="624"/>
      <c r="W353" s="623"/>
      <c r="X353" s="623"/>
      <c r="Y353" s="633"/>
      <c r="Z353" s="624"/>
      <c r="AB353" s="630"/>
      <c r="AC353" s="630"/>
      <c r="AD353" s="630"/>
      <c r="AE353" s="630"/>
      <c r="AF353" s="630"/>
      <c r="AG353" s="630"/>
    </row>
    <row r="354" spans="1:33">
      <c r="A354" s="628"/>
      <c r="B354" s="628"/>
      <c r="C354" s="630"/>
      <c r="D354" s="628"/>
      <c r="E354" s="630"/>
      <c r="F354" s="629"/>
      <c r="G354" s="635"/>
      <c r="H354" s="624"/>
      <c r="I354" s="630"/>
      <c r="K354" s="633"/>
      <c r="M354" s="634"/>
      <c r="O354" s="769"/>
      <c r="Q354" s="627"/>
      <c r="R354" s="634"/>
      <c r="T354" s="624"/>
      <c r="W354" s="623"/>
      <c r="X354" s="623"/>
      <c r="Y354" s="633"/>
      <c r="Z354" s="624"/>
      <c r="AB354" s="630"/>
      <c r="AC354" s="630"/>
      <c r="AD354" s="630"/>
      <c r="AE354" s="630"/>
      <c r="AF354" s="630"/>
      <c r="AG354" s="630"/>
    </row>
    <row r="355" spans="1:33">
      <c r="A355" s="628"/>
      <c r="B355" s="628"/>
      <c r="C355" s="630"/>
      <c r="D355" s="628"/>
      <c r="E355" s="630"/>
      <c r="F355" s="629"/>
      <c r="G355" s="635"/>
      <c r="H355" s="624"/>
      <c r="I355" s="630"/>
      <c r="K355" s="633"/>
      <c r="M355" s="634"/>
      <c r="O355" s="769"/>
      <c r="Q355" s="627"/>
      <c r="R355" s="634"/>
      <c r="T355" s="624"/>
      <c r="W355" s="623"/>
      <c r="X355" s="623"/>
      <c r="Y355" s="633"/>
      <c r="Z355" s="624"/>
      <c r="AB355" s="630"/>
      <c r="AC355" s="630"/>
      <c r="AD355" s="630"/>
      <c r="AE355" s="630"/>
      <c r="AF355" s="630"/>
      <c r="AG355" s="630"/>
    </row>
    <row r="356" spans="1:33">
      <c r="A356" s="628"/>
      <c r="B356" s="628"/>
      <c r="C356" s="630"/>
      <c r="D356" s="628"/>
      <c r="E356" s="630"/>
      <c r="F356" s="629"/>
      <c r="G356" s="635"/>
      <c r="H356" s="624"/>
      <c r="I356" s="630"/>
      <c r="K356" s="633"/>
      <c r="M356" s="634"/>
      <c r="O356" s="769"/>
      <c r="Q356" s="627"/>
      <c r="R356" s="634"/>
      <c r="T356" s="624"/>
      <c r="W356" s="623"/>
      <c r="X356" s="623"/>
      <c r="Y356" s="633"/>
      <c r="Z356" s="624"/>
      <c r="AB356" s="630"/>
      <c r="AC356" s="630"/>
      <c r="AD356" s="630"/>
      <c r="AE356" s="630"/>
      <c r="AF356" s="630"/>
      <c r="AG356" s="630"/>
    </row>
    <row r="357" spans="1:33">
      <c r="A357" s="628"/>
      <c r="B357" s="628"/>
      <c r="C357" s="630"/>
      <c r="D357" s="628"/>
      <c r="E357" s="630"/>
      <c r="F357" s="629"/>
      <c r="G357" s="635"/>
      <c r="H357" s="624"/>
      <c r="I357" s="630"/>
      <c r="K357" s="633"/>
      <c r="M357" s="634"/>
      <c r="O357" s="769"/>
      <c r="Q357" s="627"/>
      <c r="R357" s="634"/>
      <c r="T357" s="624"/>
      <c r="W357" s="623"/>
      <c r="X357" s="623"/>
      <c r="Y357" s="633"/>
      <c r="Z357" s="624"/>
      <c r="AB357" s="630"/>
      <c r="AC357" s="630"/>
      <c r="AD357" s="630"/>
      <c r="AE357" s="630"/>
      <c r="AF357" s="630"/>
      <c r="AG357" s="630"/>
    </row>
    <row r="358" spans="1:33">
      <c r="A358" s="628"/>
      <c r="B358" s="628"/>
      <c r="C358" s="630"/>
      <c r="D358" s="628"/>
      <c r="E358" s="630"/>
      <c r="F358" s="629"/>
      <c r="G358" s="635"/>
      <c r="H358" s="624"/>
      <c r="I358" s="630"/>
      <c r="K358" s="633"/>
      <c r="M358" s="634"/>
      <c r="O358" s="769"/>
      <c r="Q358" s="627"/>
      <c r="R358" s="634"/>
      <c r="T358" s="624"/>
      <c r="W358" s="623"/>
      <c r="X358" s="623"/>
      <c r="Y358" s="633"/>
      <c r="Z358" s="624"/>
      <c r="AB358" s="630"/>
      <c r="AC358" s="630"/>
      <c r="AD358" s="630"/>
      <c r="AE358" s="630"/>
      <c r="AF358" s="630"/>
      <c r="AG358" s="630"/>
    </row>
    <row r="359" spans="1:33">
      <c r="A359" s="628"/>
      <c r="B359" s="628"/>
      <c r="C359" s="630"/>
      <c r="D359" s="628"/>
      <c r="E359" s="630"/>
      <c r="F359" s="629"/>
      <c r="G359" s="635"/>
      <c r="H359" s="624"/>
      <c r="I359" s="630"/>
      <c r="K359" s="633"/>
      <c r="M359" s="634"/>
      <c r="O359" s="769"/>
      <c r="Q359" s="627"/>
      <c r="R359" s="634"/>
      <c r="T359" s="624"/>
      <c r="W359" s="623"/>
      <c r="X359" s="623"/>
      <c r="Y359" s="633"/>
      <c r="Z359" s="624"/>
      <c r="AB359" s="630"/>
      <c r="AC359" s="630"/>
      <c r="AD359" s="630"/>
      <c r="AE359" s="630"/>
      <c r="AF359" s="630"/>
      <c r="AG359" s="630"/>
    </row>
    <row r="360" spans="1:33">
      <c r="A360" s="628"/>
      <c r="B360" s="628"/>
      <c r="C360" s="630"/>
      <c r="D360" s="628"/>
      <c r="E360" s="630"/>
      <c r="F360" s="629"/>
      <c r="G360" s="635"/>
      <c r="H360" s="624"/>
      <c r="I360" s="630"/>
      <c r="K360" s="633"/>
      <c r="M360" s="634"/>
      <c r="O360" s="769"/>
      <c r="Q360" s="627"/>
      <c r="R360" s="634"/>
      <c r="T360" s="624"/>
      <c r="W360" s="623"/>
      <c r="X360" s="623"/>
      <c r="Y360" s="633"/>
      <c r="Z360" s="624"/>
      <c r="AB360" s="630"/>
      <c r="AC360" s="630"/>
      <c r="AD360" s="630"/>
      <c r="AE360" s="630"/>
      <c r="AF360" s="630"/>
      <c r="AG360" s="630"/>
    </row>
    <row r="361" spans="1:33">
      <c r="A361" s="628"/>
      <c r="B361" s="628"/>
      <c r="C361" s="630"/>
      <c r="D361" s="628"/>
      <c r="E361" s="630"/>
      <c r="F361" s="629"/>
      <c r="G361" s="635"/>
      <c r="H361" s="624"/>
      <c r="I361" s="630"/>
      <c r="K361" s="633"/>
      <c r="M361" s="634"/>
      <c r="O361" s="769"/>
      <c r="Q361" s="627"/>
      <c r="R361" s="634"/>
      <c r="T361" s="624"/>
      <c r="W361" s="623"/>
      <c r="X361" s="623"/>
      <c r="Y361" s="633"/>
      <c r="Z361" s="624"/>
      <c r="AB361" s="630"/>
      <c r="AC361" s="630"/>
      <c r="AD361" s="630"/>
      <c r="AE361" s="630"/>
      <c r="AF361" s="630"/>
      <c r="AG361" s="630"/>
    </row>
    <row r="362" spans="1:33">
      <c r="A362" s="628"/>
      <c r="B362" s="628"/>
      <c r="C362" s="630"/>
      <c r="D362" s="628"/>
      <c r="E362" s="630"/>
      <c r="F362" s="629"/>
      <c r="G362" s="635"/>
      <c r="H362" s="624"/>
      <c r="I362" s="630"/>
      <c r="K362" s="633"/>
      <c r="M362" s="634"/>
      <c r="O362" s="769"/>
      <c r="Q362" s="627"/>
      <c r="R362" s="634"/>
      <c r="T362" s="624"/>
      <c r="W362" s="623"/>
      <c r="X362" s="623"/>
      <c r="Y362" s="633"/>
      <c r="Z362" s="624"/>
      <c r="AB362" s="630"/>
      <c r="AC362" s="630"/>
      <c r="AD362" s="630"/>
      <c r="AE362" s="630"/>
      <c r="AF362" s="630"/>
      <c r="AG362" s="630"/>
    </row>
    <row r="363" spans="1:33">
      <c r="A363" s="628"/>
      <c r="B363" s="628"/>
      <c r="C363" s="630"/>
      <c r="D363" s="628"/>
      <c r="E363" s="630"/>
      <c r="F363" s="629"/>
      <c r="G363" s="635"/>
      <c r="H363" s="624"/>
      <c r="I363" s="630"/>
      <c r="K363" s="633"/>
      <c r="M363" s="634"/>
      <c r="O363" s="769"/>
      <c r="Q363" s="627"/>
      <c r="R363" s="634"/>
      <c r="T363" s="624"/>
      <c r="W363" s="623"/>
      <c r="X363" s="623"/>
      <c r="Y363" s="633"/>
      <c r="Z363" s="624"/>
      <c r="AB363" s="630"/>
      <c r="AC363" s="630"/>
      <c r="AD363" s="630"/>
      <c r="AE363" s="630"/>
      <c r="AF363" s="630"/>
      <c r="AG363" s="630"/>
    </row>
    <row r="364" spans="1:33">
      <c r="A364" s="628"/>
      <c r="B364" s="628"/>
      <c r="C364" s="630"/>
      <c r="D364" s="628"/>
      <c r="E364" s="630"/>
      <c r="F364" s="629"/>
      <c r="G364" s="635"/>
      <c r="H364" s="624"/>
      <c r="I364" s="630"/>
      <c r="K364" s="633"/>
      <c r="M364" s="634"/>
      <c r="O364" s="769"/>
      <c r="Q364" s="627"/>
      <c r="R364" s="634"/>
      <c r="T364" s="624"/>
      <c r="W364" s="623"/>
      <c r="X364" s="623"/>
      <c r="Y364" s="633"/>
      <c r="Z364" s="624"/>
      <c r="AB364" s="630"/>
      <c r="AC364" s="630"/>
      <c r="AD364" s="630"/>
      <c r="AE364" s="630"/>
      <c r="AF364" s="630"/>
      <c r="AG364" s="630"/>
    </row>
    <row r="365" spans="1:33">
      <c r="A365" s="628"/>
      <c r="B365" s="628"/>
      <c r="C365" s="630"/>
      <c r="D365" s="628"/>
      <c r="E365" s="630"/>
      <c r="F365" s="629"/>
      <c r="G365" s="635"/>
      <c r="H365" s="624"/>
      <c r="I365" s="630"/>
      <c r="K365" s="633"/>
      <c r="M365" s="634"/>
      <c r="O365" s="769"/>
      <c r="Q365" s="627"/>
      <c r="R365" s="634"/>
      <c r="T365" s="624"/>
      <c r="W365" s="623"/>
      <c r="X365" s="623"/>
      <c r="Y365" s="633"/>
      <c r="Z365" s="624"/>
      <c r="AB365" s="630"/>
      <c r="AC365" s="630"/>
      <c r="AD365" s="630"/>
      <c r="AE365" s="630"/>
      <c r="AF365" s="630"/>
      <c r="AG365" s="630"/>
    </row>
    <row r="366" spans="1:33">
      <c r="A366" s="628"/>
      <c r="B366" s="628"/>
      <c r="C366" s="630"/>
      <c r="D366" s="628"/>
      <c r="E366" s="630"/>
      <c r="F366" s="629"/>
      <c r="G366" s="635"/>
      <c r="H366" s="624"/>
      <c r="I366" s="630"/>
      <c r="K366" s="633"/>
      <c r="M366" s="634"/>
      <c r="O366" s="769"/>
      <c r="Q366" s="627"/>
      <c r="R366" s="634"/>
      <c r="T366" s="624"/>
      <c r="W366" s="623"/>
      <c r="X366" s="623"/>
      <c r="Y366" s="633"/>
      <c r="Z366" s="624"/>
      <c r="AB366" s="630"/>
      <c r="AC366" s="630"/>
      <c r="AD366" s="630"/>
      <c r="AE366" s="630"/>
      <c r="AF366" s="630"/>
      <c r="AG366" s="630"/>
    </row>
    <row r="367" spans="1:33">
      <c r="A367" s="628"/>
      <c r="B367" s="628"/>
      <c r="C367" s="630"/>
      <c r="D367" s="628"/>
      <c r="E367" s="630"/>
      <c r="F367" s="629"/>
      <c r="G367" s="635"/>
      <c r="H367" s="624"/>
      <c r="I367" s="630"/>
      <c r="K367" s="633"/>
      <c r="M367" s="634"/>
      <c r="O367" s="769"/>
      <c r="Q367" s="627"/>
      <c r="R367" s="634"/>
      <c r="T367" s="624"/>
      <c r="W367" s="623"/>
      <c r="X367" s="623"/>
      <c r="Y367" s="633"/>
      <c r="Z367" s="624"/>
      <c r="AB367" s="630"/>
      <c r="AC367" s="630"/>
      <c r="AD367" s="630"/>
      <c r="AE367" s="630"/>
      <c r="AF367" s="630"/>
      <c r="AG367" s="630"/>
    </row>
    <row r="368" spans="1:33">
      <c r="A368" s="628"/>
      <c r="B368" s="628"/>
      <c r="C368" s="630"/>
      <c r="D368" s="628"/>
      <c r="E368" s="630"/>
      <c r="F368" s="629"/>
      <c r="G368" s="635"/>
      <c r="H368" s="624"/>
      <c r="I368" s="630"/>
      <c r="K368" s="633"/>
      <c r="M368" s="634"/>
      <c r="O368" s="769"/>
      <c r="Q368" s="627"/>
      <c r="R368" s="634"/>
      <c r="T368" s="624"/>
      <c r="W368" s="623"/>
      <c r="X368" s="623"/>
      <c r="Y368" s="633"/>
      <c r="Z368" s="624"/>
      <c r="AB368" s="630"/>
      <c r="AC368" s="630"/>
      <c r="AD368" s="630"/>
      <c r="AE368" s="630"/>
      <c r="AF368" s="630"/>
      <c r="AG368" s="630"/>
    </row>
    <row r="369" spans="1:33">
      <c r="A369" s="628"/>
      <c r="B369" s="628"/>
      <c r="C369" s="630"/>
      <c r="D369" s="628"/>
      <c r="E369" s="630"/>
      <c r="F369" s="629"/>
      <c r="G369" s="635"/>
      <c r="H369" s="624"/>
      <c r="I369" s="630"/>
      <c r="K369" s="633"/>
      <c r="M369" s="634"/>
      <c r="O369" s="769"/>
      <c r="Q369" s="627"/>
      <c r="R369" s="634"/>
      <c r="T369" s="624"/>
      <c r="W369" s="623"/>
      <c r="X369" s="623"/>
      <c r="Y369" s="633"/>
      <c r="Z369" s="624"/>
      <c r="AB369" s="630"/>
      <c r="AC369" s="630"/>
      <c r="AD369" s="630"/>
      <c r="AE369" s="630"/>
      <c r="AF369" s="630"/>
      <c r="AG369" s="630"/>
    </row>
    <row r="370" spans="1:33">
      <c r="A370" s="628"/>
      <c r="B370" s="628"/>
      <c r="C370" s="630"/>
      <c r="D370" s="628"/>
      <c r="E370" s="630"/>
      <c r="F370" s="629"/>
      <c r="G370" s="635"/>
      <c r="H370" s="624"/>
      <c r="I370" s="630"/>
      <c r="K370" s="633"/>
      <c r="M370" s="634"/>
      <c r="O370" s="769"/>
      <c r="Q370" s="627"/>
      <c r="R370" s="634"/>
      <c r="T370" s="624"/>
      <c r="W370" s="623"/>
      <c r="X370" s="623"/>
      <c r="Y370" s="633"/>
      <c r="Z370" s="624"/>
      <c r="AB370" s="630"/>
      <c r="AC370" s="630"/>
      <c r="AD370" s="630"/>
      <c r="AE370" s="630"/>
      <c r="AF370" s="630"/>
      <c r="AG370" s="630"/>
    </row>
    <row r="371" spans="1:33">
      <c r="A371" s="628"/>
      <c r="B371" s="628"/>
      <c r="C371" s="630"/>
      <c r="D371" s="628"/>
      <c r="E371" s="630"/>
      <c r="F371" s="629"/>
      <c r="G371" s="635"/>
      <c r="H371" s="624"/>
      <c r="I371" s="630"/>
      <c r="K371" s="633"/>
      <c r="M371" s="634"/>
      <c r="O371" s="769"/>
      <c r="Q371" s="627"/>
      <c r="R371" s="634"/>
      <c r="T371" s="624"/>
      <c r="W371" s="623"/>
      <c r="X371" s="623"/>
      <c r="Y371" s="633"/>
      <c r="Z371" s="624"/>
      <c r="AB371" s="630"/>
      <c r="AC371" s="630"/>
      <c r="AD371" s="630"/>
      <c r="AE371" s="630"/>
      <c r="AF371" s="630"/>
      <c r="AG371" s="630"/>
    </row>
    <row r="372" spans="1:33">
      <c r="A372" s="628"/>
      <c r="B372" s="628"/>
      <c r="C372" s="630"/>
      <c r="D372" s="628"/>
      <c r="E372" s="630"/>
      <c r="F372" s="629"/>
      <c r="G372" s="635"/>
      <c r="H372" s="624"/>
      <c r="I372" s="630"/>
      <c r="K372" s="633"/>
      <c r="M372" s="634"/>
      <c r="O372" s="769"/>
      <c r="Q372" s="627"/>
      <c r="R372" s="634"/>
      <c r="T372" s="624"/>
      <c r="W372" s="623"/>
      <c r="X372" s="623"/>
      <c r="Y372" s="633"/>
      <c r="Z372" s="624"/>
      <c r="AB372" s="630"/>
      <c r="AC372" s="630"/>
      <c r="AD372" s="630"/>
      <c r="AE372" s="630"/>
      <c r="AF372" s="630"/>
      <c r="AG372" s="630"/>
    </row>
    <row r="373" spans="1:33">
      <c r="A373" s="628"/>
      <c r="B373" s="628"/>
      <c r="C373" s="630"/>
      <c r="D373" s="628"/>
      <c r="E373" s="630"/>
      <c r="F373" s="629"/>
      <c r="G373" s="635"/>
      <c r="H373" s="624"/>
      <c r="I373" s="630"/>
      <c r="K373" s="633"/>
      <c r="M373" s="634"/>
      <c r="O373" s="769"/>
      <c r="Q373" s="627"/>
      <c r="R373" s="634"/>
      <c r="T373" s="624"/>
      <c r="W373" s="623"/>
      <c r="X373" s="623"/>
      <c r="Y373" s="633"/>
      <c r="Z373" s="624"/>
      <c r="AB373" s="630"/>
      <c r="AC373" s="630"/>
      <c r="AD373" s="630"/>
      <c r="AE373" s="630"/>
      <c r="AF373" s="630"/>
      <c r="AG373" s="630"/>
    </row>
    <row r="374" spans="1:33">
      <c r="A374" s="628"/>
      <c r="B374" s="628"/>
      <c r="C374" s="630"/>
      <c r="D374" s="628"/>
      <c r="E374" s="630"/>
      <c r="F374" s="629"/>
      <c r="G374" s="635"/>
      <c r="H374" s="624"/>
      <c r="I374" s="630"/>
      <c r="K374" s="633"/>
      <c r="M374" s="634"/>
      <c r="O374" s="769"/>
      <c r="Q374" s="627"/>
      <c r="R374" s="634"/>
      <c r="T374" s="624"/>
      <c r="W374" s="623"/>
      <c r="X374" s="623"/>
      <c r="Y374" s="633"/>
      <c r="Z374" s="624"/>
      <c r="AB374" s="630"/>
      <c r="AC374" s="630"/>
      <c r="AD374" s="630"/>
      <c r="AE374" s="630"/>
      <c r="AF374" s="630"/>
      <c r="AG374" s="630"/>
    </row>
    <row r="375" spans="1:33">
      <c r="A375" s="628"/>
      <c r="B375" s="628"/>
      <c r="C375" s="630"/>
      <c r="D375" s="628"/>
      <c r="E375" s="630"/>
      <c r="F375" s="629"/>
      <c r="G375" s="635"/>
      <c r="H375" s="624"/>
      <c r="I375" s="630"/>
      <c r="K375" s="633"/>
      <c r="M375" s="634"/>
      <c r="O375" s="769"/>
      <c r="Q375" s="627"/>
      <c r="R375" s="634"/>
      <c r="T375" s="624"/>
      <c r="W375" s="623"/>
      <c r="X375" s="623"/>
      <c r="Y375" s="633"/>
      <c r="Z375" s="624"/>
      <c r="AB375" s="630"/>
      <c r="AC375" s="630"/>
      <c r="AD375" s="630"/>
      <c r="AE375" s="630"/>
      <c r="AF375" s="630"/>
      <c r="AG375" s="630"/>
    </row>
    <row r="376" spans="1:33">
      <c r="A376" s="628"/>
      <c r="B376" s="628"/>
      <c r="C376" s="630"/>
      <c r="D376" s="628"/>
      <c r="E376" s="630"/>
      <c r="F376" s="629"/>
      <c r="G376" s="635"/>
      <c r="H376" s="624"/>
      <c r="I376" s="630"/>
      <c r="K376" s="633"/>
      <c r="M376" s="634"/>
      <c r="O376" s="769"/>
      <c r="Q376" s="627"/>
      <c r="R376" s="634"/>
      <c r="T376" s="624"/>
      <c r="W376" s="623"/>
      <c r="X376" s="623"/>
      <c r="Y376" s="633"/>
      <c r="Z376" s="624"/>
      <c r="AB376" s="630"/>
      <c r="AC376" s="630"/>
      <c r="AD376" s="630"/>
      <c r="AE376" s="630"/>
      <c r="AF376" s="630"/>
      <c r="AG376" s="630"/>
    </row>
    <row r="377" spans="1:33">
      <c r="A377" s="628"/>
      <c r="B377" s="628"/>
      <c r="C377" s="630"/>
      <c r="D377" s="628"/>
      <c r="E377" s="630"/>
      <c r="F377" s="629"/>
      <c r="G377" s="635"/>
      <c r="H377" s="624"/>
      <c r="I377" s="630"/>
      <c r="K377" s="633"/>
      <c r="M377" s="634"/>
      <c r="O377" s="769"/>
      <c r="Q377" s="627"/>
      <c r="R377" s="634"/>
      <c r="T377" s="624"/>
      <c r="W377" s="623"/>
      <c r="X377" s="623"/>
      <c r="Y377" s="633"/>
      <c r="Z377" s="624"/>
      <c r="AB377" s="630"/>
      <c r="AC377" s="630"/>
      <c r="AD377" s="630"/>
      <c r="AE377" s="630"/>
      <c r="AF377" s="630"/>
      <c r="AG377" s="630"/>
    </row>
    <row r="378" spans="1:33">
      <c r="A378" s="628"/>
      <c r="B378" s="628"/>
      <c r="C378" s="630"/>
      <c r="D378" s="628"/>
      <c r="E378" s="630"/>
      <c r="F378" s="629"/>
      <c r="G378" s="635"/>
      <c r="H378" s="624"/>
      <c r="I378" s="630"/>
      <c r="K378" s="633"/>
      <c r="M378" s="634"/>
      <c r="O378" s="769"/>
      <c r="Q378" s="627"/>
      <c r="R378" s="634"/>
      <c r="T378" s="624"/>
      <c r="W378" s="623"/>
      <c r="X378" s="623"/>
      <c r="Y378" s="633"/>
      <c r="Z378" s="624"/>
      <c r="AB378" s="630"/>
      <c r="AC378" s="630"/>
      <c r="AD378" s="630"/>
      <c r="AE378" s="630"/>
      <c r="AF378" s="630"/>
      <c r="AG378" s="630"/>
    </row>
    <row r="379" spans="1:33">
      <c r="A379" s="628"/>
      <c r="B379" s="628"/>
      <c r="C379" s="630"/>
      <c r="D379" s="628"/>
      <c r="E379" s="630"/>
      <c r="F379" s="629"/>
      <c r="G379" s="635"/>
      <c r="H379" s="624"/>
      <c r="I379" s="630"/>
      <c r="K379" s="633"/>
      <c r="M379" s="634"/>
      <c r="O379" s="769"/>
      <c r="Q379" s="627"/>
      <c r="R379" s="634"/>
      <c r="T379" s="624"/>
      <c r="W379" s="623"/>
      <c r="X379" s="623"/>
      <c r="Y379" s="633"/>
      <c r="Z379" s="624"/>
      <c r="AB379" s="630"/>
      <c r="AC379" s="630"/>
      <c r="AD379" s="630"/>
      <c r="AE379" s="630"/>
      <c r="AF379" s="630"/>
      <c r="AG379" s="630"/>
    </row>
    <row r="380" spans="1:33">
      <c r="A380" s="628"/>
      <c r="B380" s="628"/>
      <c r="C380" s="630"/>
      <c r="D380" s="628"/>
      <c r="E380" s="630"/>
      <c r="F380" s="629"/>
      <c r="G380" s="635"/>
      <c r="H380" s="624"/>
      <c r="I380" s="630"/>
      <c r="K380" s="633"/>
      <c r="M380" s="634"/>
      <c r="O380" s="769"/>
      <c r="Q380" s="627"/>
      <c r="R380" s="634"/>
      <c r="T380" s="624"/>
      <c r="W380" s="623"/>
      <c r="X380" s="623"/>
      <c r="Y380" s="633"/>
      <c r="Z380" s="624"/>
      <c r="AB380" s="630"/>
      <c r="AC380" s="630"/>
      <c r="AD380" s="630"/>
      <c r="AE380" s="630"/>
      <c r="AF380" s="630"/>
      <c r="AG380" s="630"/>
    </row>
    <row r="381" spans="1:33">
      <c r="A381" s="628"/>
      <c r="B381" s="628"/>
      <c r="C381" s="630"/>
      <c r="D381" s="628"/>
      <c r="E381" s="630"/>
      <c r="F381" s="629"/>
      <c r="G381" s="635"/>
      <c r="H381" s="624"/>
      <c r="I381" s="630"/>
      <c r="K381" s="633"/>
      <c r="M381" s="634"/>
      <c r="O381" s="769"/>
      <c r="Q381" s="627"/>
      <c r="R381" s="634"/>
      <c r="T381" s="624"/>
      <c r="W381" s="623"/>
      <c r="X381" s="623"/>
      <c r="Y381" s="633"/>
      <c r="Z381" s="624"/>
      <c r="AB381" s="630"/>
      <c r="AC381" s="630"/>
      <c r="AD381" s="630"/>
      <c r="AE381" s="630"/>
      <c r="AF381" s="630"/>
      <c r="AG381" s="630"/>
    </row>
    <row r="382" spans="1:33">
      <c r="A382" s="628"/>
      <c r="B382" s="628"/>
      <c r="C382" s="630"/>
      <c r="D382" s="628"/>
      <c r="E382" s="630"/>
      <c r="F382" s="629"/>
      <c r="G382" s="635"/>
      <c r="H382" s="624"/>
      <c r="I382" s="630"/>
      <c r="K382" s="633"/>
      <c r="M382" s="634"/>
      <c r="O382" s="769"/>
      <c r="Q382" s="627"/>
      <c r="R382" s="634"/>
      <c r="T382" s="624"/>
      <c r="W382" s="623"/>
      <c r="X382" s="623"/>
      <c r="Y382" s="633"/>
      <c r="Z382" s="624"/>
      <c r="AB382" s="630"/>
      <c r="AC382" s="630"/>
      <c r="AD382" s="630"/>
      <c r="AE382" s="630"/>
      <c r="AF382" s="630"/>
      <c r="AG382" s="630"/>
    </row>
    <row r="383" spans="1:33">
      <c r="A383" s="628"/>
      <c r="B383" s="628"/>
      <c r="C383" s="630"/>
      <c r="D383" s="628"/>
      <c r="E383" s="630"/>
      <c r="F383" s="629"/>
      <c r="G383" s="635"/>
      <c r="H383" s="624"/>
      <c r="I383" s="630"/>
      <c r="K383" s="633"/>
      <c r="M383" s="634"/>
      <c r="O383" s="769"/>
      <c r="Q383" s="627"/>
      <c r="R383" s="634"/>
      <c r="T383" s="624"/>
      <c r="W383" s="623"/>
      <c r="X383" s="623"/>
      <c r="Y383" s="633"/>
      <c r="Z383" s="624"/>
      <c r="AB383" s="630"/>
      <c r="AC383" s="630"/>
      <c r="AD383" s="630"/>
      <c r="AE383" s="630"/>
      <c r="AF383" s="630"/>
      <c r="AG383" s="630"/>
    </row>
    <row r="384" spans="1:33">
      <c r="A384" s="628"/>
      <c r="B384" s="628"/>
      <c r="C384" s="630"/>
      <c r="D384" s="628"/>
      <c r="E384" s="630"/>
      <c r="F384" s="629"/>
      <c r="G384" s="635"/>
      <c r="H384" s="624"/>
      <c r="I384" s="630"/>
      <c r="K384" s="633"/>
      <c r="M384" s="634"/>
      <c r="O384" s="769"/>
      <c r="Q384" s="627"/>
      <c r="R384" s="634"/>
      <c r="T384" s="624"/>
      <c r="W384" s="623"/>
      <c r="X384" s="623"/>
      <c r="Y384" s="633"/>
      <c r="Z384" s="624"/>
      <c r="AB384" s="630"/>
      <c r="AC384" s="630"/>
      <c r="AD384" s="630"/>
      <c r="AE384" s="630"/>
      <c r="AF384" s="630"/>
      <c r="AG384" s="630"/>
    </row>
    <row r="385" spans="1:33">
      <c r="A385" s="628"/>
      <c r="B385" s="628"/>
      <c r="C385" s="630"/>
      <c r="D385" s="628"/>
      <c r="E385" s="630"/>
      <c r="F385" s="629"/>
      <c r="G385" s="635"/>
      <c r="H385" s="624"/>
      <c r="I385" s="630"/>
      <c r="K385" s="633"/>
      <c r="M385" s="634"/>
      <c r="O385" s="769"/>
      <c r="Q385" s="627"/>
      <c r="R385" s="634"/>
      <c r="T385" s="624"/>
      <c r="W385" s="623"/>
      <c r="X385" s="623"/>
      <c r="Y385" s="633"/>
      <c r="Z385" s="624"/>
      <c r="AB385" s="630"/>
      <c r="AC385" s="630"/>
      <c r="AD385" s="630"/>
      <c r="AE385" s="630"/>
      <c r="AF385" s="630"/>
      <c r="AG385" s="630"/>
    </row>
    <row r="386" spans="1:33">
      <c r="A386" s="628"/>
      <c r="B386" s="628"/>
      <c r="C386" s="630"/>
      <c r="D386" s="628"/>
      <c r="E386" s="630"/>
      <c r="F386" s="629"/>
      <c r="G386" s="635"/>
      <c r="H386" s="624"/>
      <c r="I386" s="630"/>
      <c r="K386" s="633"/>
      <c r="M386" s="634"/>
      <c r="O386" s="769"/>
      <c r="Q386" s="627"/>
      <c r="R386" s="634"/>
      <c r="T386" s="624"/>
      <c r="W386" s="623"/>
      <c r="X386" s="623"/>
      <c r="Y386" s="633"/>
      <c r="Z386" s="624"/>
      <c r="AB386" s="630"/>
      <c r="AC386" s="630"/>
      <c r="AD386" s="630"/>
      <c r="AE386" s="630"/>
      <c r="AF386" s="630"/>
      <c r="AG386" s="630"/>
    </row>
    <row r="387" spans="1:33">
      <c r="A387" s="628"/>
      <c r="B387" s="628"/>
      <c r="C387" s="630"/>
      <c r="D387" s="628"/>
      <c r="E387" s="630"/>
      <c r="F387" s="629"/>
      <c r="G387" s="635"/>
      <c r="H387" s="624"/>
      <c r="I387" s="630"/>
      <c r="K387" s="633"/>
      <c r="M387" s="634"/>
      <c r="O387" s="769"/>
      <c r="Q387" s="627"/>
      <c r="R387" s="634"/>
      <c r="T387" s="624"/>
      <c r="W387" s="623"/>
      <c r="X387" s="623"/>
      <c r="Y387" s="633"/>
      <c r="Z387" s="624"/>
      <c r="AB387" s="630"/>
      <c r="AC387" s="630"/>
      <c r="AD387" s="630"/>
      <c r="AE387" s="630"/>
      <c r="AF387" s="630"/>
      <c r="AG387" s="630"/>
    </row>
    <row r="388" spans="1:33">
      <c r="A388" s="628"/>
      <c r="B388" s="628"/>
      <c r="C388" s="630"/>
      <c r="D388" s="628"/>
      <c r="E388" s="630"/>
      <c r="F388" s="629"/>
      <c r="G388" s="635"/>
      <c r="H388" s="624"/>
      <c r="I388" s="630"/>
      <c r="K388" s="633"/>
      <c r="M388" s="634"/>
      <c r="O388" s="769"/>
      <c r="Q388" s="627"/>
      <c r="R388" s="634"/>
      <c r="T388" s="624"/>
      <c r="W388" s="623"/>
      <c r="X388" s="623"/>
      <c r="Y388" s="633"/>
      <c r="Z388" s="624"/>
      <c r="AB388" s="630"/>
      <c r="AC388" s="630"/>
      <c r="AD388" s="630"/>
      <c r="AE388" s="630"/>
      <c r="AF388" s="630"/>
      <c r="AG388" s="630"/>
    </row>
    <row r="389" spans="1:33">
      <c r="A389" s="628"/>
      <c r="B389" s="628"/>
      <c r="C389" s="630"/>
      <c r="D389" s="628"/>
      <c r="E389" s="630"/>
      <c r="F389" s="629"/>
      <c r="G389" s="635"/>
      <c r="H389" s="624"/>
      <c r="I389" s="630"/>
      <c r="K389" s="633"/>
      <c r="M389" s="634"/>
      <c r="O389" s="769"/>
      <c r="Q389" s="627"/>
      <c r="R389" s="634"/>
      <c r="T389" s="624"/>
      <c r="W389" s="623"/>
      <c r="X389" s="623"/>
      <c r="Y389" s="633"/>
      <c r="Z389" s="624"/>
      <c r="AB389" s="630"/>
      <c r="AC389" s="630"/>
      <c r="AD389" s="630"/>
      <c r="AE389" s="630"/>
      <c r="AF389" s="630"/>
      <c r="AG389" s="630"/>
    </row>
    <row r="390" spans="1:33">
      <c r="A390" s="628"/>
      <c r="B390" s="628"/>
      <c r="C390" s="630"/>
      <c r="D390" s="628"/>
      <c r="E390" s="630"/>
      <c r="F390" s="629"/>
      <c r="G390" s="635"/>
      <c r="H390" s="624"/>
      <c r="I390" s="630"/>
      <c r="K390" s="633"/>
      <c r="M390" s="634"/>
      <c r="O390" s="769"/>
      <c r="Q390" s="627"/>
      <c r="R390" s="634"/>
      <c r="T390" s="624"/>
      <c r="W390" s="623"/>
      <c r="X390" s="623"/>
      <c r="Y390" s="633"/>
      <c r="Z390" s="624"/>
      <c r="AB390" s="630"/>
      <c r="AC390" s="630"/>
      <c r="AD390" s="630"/>
      <c r="AE390" s="630"/>
      <c r="AF390" s="630"/>
      <c r="AG390" s="630"/>
    </row>
    <row r="391" spans="1:33">
      <c r="A391" s="628"/>
      <c r="B391" s="628"/>
      <c r="C391" s="630"/>
      <c r="D391" s="628"/>
      <c r="E391" s="630"/>
      <c r="F391" s="629"/>
      <c r="G391" s="635"/>
      <c r="H391" s="624"/>
      <c r="I391" s="630"/>
      <c r="K391" s="633"/>
      <c r="M391" s="634"/>
      <c r="O391" s="769"/>
      <c r="Q391" s="627"/>
      <c r="R391" s="634"/>
      <c r="T391" s="624"/>
      <c r="W391" s="623"/>
      <c r="X391" s="623"/>
      <c r="Y391" s="633"/>
      <c r="Z391" s="624"/>
      <c r="AB391" s="630"/>
      <c r="AC391" s="630"/>
      <c r="AD391" s="630"/>
      <c r="AE391" s="630"/>
      <c r="AF391" s="630"/>
      <c r="AG391" s="630"/>
    </row>
    <row r="392" spans="1:33">
      <c r="A392" s="628"/>
      <c r="B392" s="628"/>
      <c r="C392" s="630"/>
      <c r="D392" s="628"/>
      <c r="E392" s="630"/>
      <c r="F392" s="629"/>
      <c r="G392" s="635"/>
      <c r="H392" s="624"/>
      <c r="I392" s="630"/>
      <c r="K392" s="633"/>
      <c r="M392" s="634"/>
      <c r="O392" s="769"/>
      <c r="Q392" s="627"/>
      <c r="R392" s="634"/>
      <c r="T392" s="624"/>
      <c r="W392" s="623"/>
      <c r="X392" s="623"/>
      <c r="Y392" s="633"/>
      <c r="Z392" s="624"/>
      <c r="AB392" s="630"/>
      <c r="AC392" s="630"/>
      <c r="AD392" s="630"/>
      <c r="AE392" s="630"/>
      <c r="AF392" s="630"/>
      <c r="AG392" s="630"/>
    </row>
    <row r="393" spans="1:33">
      <c r="A393" s="628"/>
      <c r="B393" s="628"/>
      <c r="C393" s="630"/>
      <c r="D393" s="628"/>
      <c r="E393" s="630"/>
      <c r="F393" s="629"/>
      <c r="G393" s="635"/>
      <c r="H393" s="624"/>
      <c r="I393" s="630"/>
      <c r="K393" s="633"/>
      <c r="M393" s="634"/>
      <c r="O393" s="769"/>
      <c r="Q393" s="627"/>
      <c r="R393" s="634"/>
      <c r="T393" s="624"/>
      <c r="W393" s="623"/>
      <c r="X393" s="623"/>
      <c r="Y393" s="633"/>
      <c r="Z393" s="624"/>
      <c r="AB393" s="630"/>
      <c r="AC393" s="630"/>
      <c r="AD393" s="630"/>
      <c r="AE393" s="630"/>
      <c r="AF393" s="630"/>
      <c r="AG393" s="630"/>
    </row>
    <row r="394" spans="1:33">
      <c r="A394" s="628"/>
      <c r="B394" s="628"/>
      <c r="C394" s="630"/>
      <c r="D394" s="628"/>
      <c r="E394" s="630"/>
      <c r="F394" s="629"/>
      <c r="G394" s="635"/>
      <c r="H394" s="624"/>
      <c r="I394" s="630"/>
      <c r="K394" s="633"/>
      <c r="M394" s="634"/>
      <c r="O394" s="769"/>
      <c r="Q394" s="627"/>
      <c r="R394" s="634"/>
      <c r="T394" s="624"/>
      <c r="W394" s="623"/>
      <c r="X394" s="623"/>
      <c r="Y394" s="633"/>
      <c r="Z394" s="624"/>
      <c r="AB394" s="630"/>
      <c r="AC394" s="630"/>
      <c r="AD394" s="630"/>
      <c r="AE394" s="630"/>
      <c r="AF394" s="630"/>
      <c r="AG394" s="630"/>
    </row>
    <row r="395" spans="1:33">
      <c r="A395" s="628"/>
      <c r="B395" s="628"/>
      <c r="C395" s="630"/>
      <c r="D395" s="628"/>
      <c r="E395" s="630"/>
      <c r="F395" s="629"/>
      <c r="G395" s="635"/>
      <c r="H395" s="624"/>
      <c r="I395" s="630"/>
      <c r="K395" s="633"/>
      <c r="M395" s="634"/>
      <c r="O395" s="769"/>
      <c r="Q395" s="627"/>
      <c r="R395" s="634"/>
      <c r="T395" s="624"/>
      <c r="W395" s="623"/>
      <c r="X395" s="623"/>
      <c r="Y395" s="633"/>
      <c r="Z395" s="624"/>
      <c r="AB395" s="630"/>
      <c r="AC395" s="630"/>
      <c r="AD395" s="630"/>
      <c r="AE395" s="630"/>
      <c r="AF395" s="630"/>
      <c r="AG395" s="630"/>
    </row>
    <row r="396" spans="1:33">
      <c r="A396" s="628"/>
      <c r="B396" s="628"/>
      <c r="C396" s="630"/>
      <c r="D396" s="628"/>
      <c r="E396" s="630"/>
      <c r="F396" s="629"/>
      <c r="G396" s="635"/>
      <c r="H396" s="624"/>
      <c r="I396" s="630"/>
      <c r="K396" s="633"/>
      <c r="M396" s="634"/>
      <c r="O396" s="769"/>
      <c r="Q396" s="627"/>
      <c r="R396" s="634"/>
      <c r="T396" s="624"/>
      <c r="W396" s="623"/>
      <c r="X396" s="623"/>
      <c r="Y396" s="633"/>
      <c r="Z396" s="624"/>
      <c r="AB396" s="630"/>
      <c r="AC396" s="630"/>
      <c r="AD396" s="630"/>
      <c r="AE396" s="630"/>
      <c r="AF396" s="630"/>
      <c r="AG396" s="630"/>
    </row>
    <row r="397" spans="1:33">
      <c r="A397" s="628"/>
      <c r="B397" s="628"/>
      <c r="C397" s="630"/>
      <c r="D397" s="628"/>
      <c r="E397" s="630"/>
      <c r="F397" s="629"/>
      <c r="G397" s="635"/>
      <c r="H397" s="624"/>
      <c r="I397" s="630"/>
      <c r="K397" s="633"/>
      <c r="M397" s="634"/>
      <c r="O397" s="769"/>
      <c r="Q397" s="627"/>
      <c r="R397" s="634"/>
      <c r="T397" s="624"/>
      <c r="W397" s="623"/>
      <c r="X397" s="623"/>
      <c r="Y397" s="633"/>
      <c r="Z397" s="624"/>
      <c r="AB397" s="630"/>
      <c r="AC397" s="630"/>
      <c r="AD397" s="630"/>
      <c r="AE397" s="630"/>
      <c r="AF397" s="630"/>
      <c r="AG397" s="630"/>
    </row>
    <row r="398" spans="1:33">
      <c r="A398" s="628"/>
      <c r="B398" s="628"/>
      <c r="C398" s="630"/>
      <c r="D398" s="628"/>
      <c r="E398" s="630"/>
      <c r="F398" s="629"/>
      <c r="G398" s="635"/>
      <c r="H398" s="624"/>
      <c r="I398" s="630"/>
      <c r="K398" s="633"/>
      <c r="M398" s="634"/>
      <c r="O398" s="769"/>
      <c r="Q398" s="627"/>
      <c r="R398" s="634"/>
      <c r="T398" s="624"/>
      <c r="W398" s="623"/>
      <c r="X398" s="623"/>
      <c r="Y398" s="633"/>
      <c r="Z398" s="624"/>
      <c r="AB398" s="630"/>
      <c r="AC398" s="630"/>
      <c r="AD398" s="630"/>
      <c r="AE398" s="630"/>
      <c r="AF398" s="630"/>
      <c r="AG398" s="630"/>
    </row>
    <row r="399" spans="1:33">
      <c r="A399" s="628"/>
      <c r="B399" s="628"/>
      <c r="C399" s="630"/>
      <c r="D399" s="628"/>
      <c r="E399" s="630"/>
      <c r="F399" s="629"/>
      <c r="G399" s="635"/>
      <c r="H399" s="624"/>
      <c r="I399" s="630"/>
      <c r="K399" s="633"/>
      <c r="M399" s="634"/>
      <c r="O399" s="769"/>
      <c r="Q399" s="627"/>
      <c r="R399" s="634"/>
      <c r="T399" s="624"/>
      <c r="W399" s="623"/>
      <c r="X399" s="623"/>
      <c r="Y399" s="633"/>
      <c r="Z399" s="624"/>
      <c r="AB399" s="630"/>
      <c r="AC399" s="630"/>
      <c r="AD399" s="630"/>
      <c r="AE399" s="630"/>
      <c r="AF399" s="630"/>
      <c r="AG399" s="630"/>
    </row>
    <row r="400" spans="1:33">
      <c r="A400" s="628"/>
      <c r="B400" s="628"/>
      <c r="C400" s="630"/>
      <c r="D400" s="628"/>
      <c r="E400" s="630"/>
      <c r="F400" s="629"/>
      <c r="G400" s="635"/>
      <c r="H400" s="624"/>
      <c r="I400" s="630"/>
      <c r="K400" s="633"/>
      <c r="M400" s="634"/>
      <c r="O400" s="769"/>
      <c r="Q400" s="627"/>
      <c r="R400" s="634"/>
      <c r="T400" s="624"/>
      <c r="W400" s="623"/>
      <c r="X400" s="623"/>
      <c r="Y400" s="633"/>
      <c r="Z400" s="624"/>
      <c r="AB400" s="630"/>
      <c r="AC400" s="630"/>
      <c r="AD400" s="630"/>
      <c r="AE400" s="630"/>
      <c r="AF400" s="630"/>
      <c r="AG400" s="630"/>
    </row>
    <row r="401" spans="1:33">
      <c r="A401" s="628"/>
      <c r="B401" s="628"/>
      <c r="C401" s="630"/>
      <c r="D401" s="628"/>
      <c r="E401" s="630"/>
      <c r="F401" s="629"/>
      <c r="G401" s="635"/>
      <c r="H401" s="624"/>
      <c r="I401" s="630"/>
      <c r="K401" s="633"/>
      <c r="M401" s="634"/>
      <c r="O401" s="769"/>
      <c r="Q401" s="627"/>
      <c r="R401" s="634"/>
      <c r="T401" s="624"/>
      <c r="W401" s="623"/>
      <c r="X401" s="623"/>
      <c r="Y401" s="633"/>
      <c r="Z401" s="624"/>
      <c r="AB401" s="630"/>
      <c r="AC401" s="630"/>
      <c r="AD401" s="630"/>
      <c r="AE401" s="630"/>
      <c r="AF401" s="630"/>
      <c r="AG401" s="630"/>
    </row>
    <row r="402" spans="1:33">
      <c r="A402" s="628"/>
      <c r="B402" s="628"/>
      <c r="C402" s="630"/>
      <c r="D402" s="628"/>
      <c r="E402" s="630"/>
      <c r="F402" s="629"/>
      <c r="G402" s="635"/>
      <c r="H402" s="624"/>
      <c r="I402" s="630"/>
      <c r="K402" s="633"/>
      <c r="M402" s="634"/>
      <c r="O402" s="769"/>
      <c r="Q402" s="627"/>
      <c r="R402" s="634"/>
      <c r="T402" s="624"/>
      <c r="W402" s="623"/>
      <c r="X402" s="623"/>
      <c r="Y402" s="633"/>
      <c r="Z402" s="624"/>
      <c r="AB402" s="630"/>
      <c r="AC402" s="630"/>
      <c r="AD402" s="630"/>
      <c r="AE402" s="630"/>
      <c r="AF402" s="630"/>
      <c r="AG402" s="630"/>
    </row>
    <row r="403" spans="1:33">
      <c r="A403" s="628"/>
      <c r="B403" s="628"/>
      <c r="C403" s="630"/>
      <c r="D403" s="628"/>
      <c r="E403" s="630"/>
      <c r="F403" s="629"/>
      <c r="G403" s="635"/>
      <c r="H403" s="624"/>
      <c r="I403" s="630"/>
      <c r="K403" s="633"/>
      <c r="M403" s="634"/>
      <c r="O403" s="769"/>
      <c r="Q403" s="627"/>
      <c r="R403" s="634"/>
      <c r="T403" s="624"/>
      <c r="W403" s="623"/>
      <c r="X403" s="623"/>
      <c r="Y403" s="633"/>
      <c r="Z403" s="624"/>
      <c r="AB403" s="630"/>
      <c r="AC403" s="630"/>
      <c r="AD403" s="630"/>
      <c r="AE403" s="630"/>
      <c r="AF403" s="630"/>
      <c r="AG403" s="630"/>
    </row>
    <row r="404" spans="1:33">
      <c r="A404" s="628"/>
      <c r="B404" s="628"/>
      <c r="C404" s="630"/>
      <c r="D404" s="628"/>
      <c r="E404" s="630"/>
      <c r="F404" s="629"/>
      <c r="G404" s="635"/>
      <c r="H404" s="624"/>
      <c r="I404" s="630"/>
      <c r="K404" s="633"/>
      <c r="M404" s="634"/>
      <c r="O404" s="769"/>
      <c r="Q404" s="627"/>
      <c r="R404" s="634"/>
      <c r="T404" s="624"/>
      <c r="W404" s="623"/>
      <c r="X404" s="623"/>
      <c r="Y404" s="633"/>
      <c r="Z404" s="624"/>
      <c r="AB404" s="630"/>
      <c r="AC404" s="630"/>
      <c r="AD404" s="630"/>
      <c r="AE404" s="630"/>
      <c r="AF404" s="630"/>
      <c r="AG404" s="630"/>
    </row>
    <row r="405" spans="1:33">
      <c r="A405" s="628"/>
      <c r="B405" s="628"/>
      <c r="C405" s="630"/>
      <c r="D405" s="628"/>
      <c r="E405" s="630"/>
      <c r="F405" s="629"/>
      <c r="G405" s="635"/>
      <c r="H405" s="624"/>
      <c r="I405" s="630"/>
      <c r="K405" s="633"/>
      <c r="M405" s="634"/>
      <c r="O405" s="769"/>
      <c r="Q405" s="627"/>
      <c r="R405" s="634"/>
      <c r="T405" s="624"/>
      <c r="W405" s="623"/>
      <c r="X405" s="623"/>
      <c r="Y405" s="633"/>
      <c r="Z405" s="624"/>
      <c r="AB405" s="630"/>
      <c r="AC405" s="630"/>
      <c r="AD405" s="630"/>
      <c r="AE405" s="630"/>
      <c r="AF405" s="630"/>
      <c r="AG405" s="630"/>
    </row>
    <row r="406" spans="1:33">
      <c r="A406" s="628"/>
      <c r="B406" s="628"/>
      <c r="C406" s="630"/>
      <c r="D406" s="628"/>
      <c r="E406" s="630"/>
      <c r="F406" s="629"/>
      <c r="G406" s="635"/>
      <c r="H406" s="624"/>
      <c r="I406" s="630"/>
      <c r="K406" s="633"/>
      <c r="M406" s="634"/>
      <c r="O406" s="769"/>
      <c r="Q406" s="627"/>
      <c r="R406" s="634"/>
      <c r="T406" s="624"/>
      <c r="W406" s="623"/>
      <c r="X406" s="623"/>
      <c r="Y406" s="633"/>
      <c r="Z406" s="624"/>
      <c r="AB406" s="630"/>
      <c r="AC406" s="630"/>
      <c r="AD406" s="630"/>
      <c r="AE406" s="630"/>
      <c r="AF406" s="630"/>
      <c r="AG406" s="630"/>
    </row>
    <row r="407" spans="1:33">
      <c r="A407" s="628"/>
      <c r="B407" s="628"/>
      <c r="C407" s="630"/>
      <c r="D407" s="628"/>
      <c r="E407" s="630"/>
      <c r="F407" s="629"/>
      <c r="G407" s="635"/>
      <c r="H407" s="624"/>
      <c r="I407" s="630"/>
      <c r="K407" s="633"/>
      <c r="M407" s="634"/>
      <c r="O407" s="769"/>
      <c r="Q407" s="627"/>
      <c r="R407" s="634"/>
      <c r="T407" s="624"/>
      <c r="W407" s="623"/>
      <c r="X407" s="623"/>
      <c r="Y407" s="633"/>
      <c r="Z407" s="624"/>
      <c r="AB407" s="630"/>
      <c r="AC407" s="630"/>
      <c r="AD407" s="630"/>
      <c r="AE407" s="630"/>
      <c r="AF407" s="630"/>
      <c r="AG407" s="630"/>
    </row>
    <row r="408" spans="1:33">
      <c r="A408" s="628"/>
      <c r="B408" s="628"/>
      <c r="C408" s="630"/>
      <c r="D408" s="628"/>
      <c r="E408" s="630"/>
      <c r="F408" s="629"/>
      <c r="G408" s="635"/>
      <c r="H408" s="624"/>
      <c r="I408" s="630"/>
      <c r="K408" s="633"/>
      <c r="M408" s="634"/>
      <c r="O408" s="769"/>
      <c r="Q408" s="627"/>
      <c r="R408" s="634"/>
      <c r="T408" s="624"/>
      <c r="W408" s="623"/>
      <c r="X408" s="623"/>
      <c r="Y408" s="633"/>
      <c r="Z408" s="624"/>
      <c r="AB408" s="630"/>
      <c r="AC408" s="630"/>
      <c r="AD408" s="630"/>
      <c r="AE408" s="630"/>
      <c r="AF408" s="630"/>
      <c r="AG408" s="630"/>
    </row>
    <row r="409" spans="1:33">
      <c r="A409" s="628"/>
      <c r="B409" s="628"/>
      <c r="C409" s="630"/>
      <c r="D409" s="628"/>
      <c r="E409" s="630"/>
      <c r="F409" s="629"/>
      <c r="G409" s="635"/>
      <c r="H409" s="624"/>
      <c r="I409" s="630"/>
      <c r="K409" s="633"/>
      <c r="M409" s="634"/>
      <c r="O409" s="769"/>
      <c r="Q409" s="627"/>
      <c r="R409" s="634"/>
      <c r="T409" s="624"/>
      <c r="W409" s="623"/>
      <c r="X409" s="623"/>
      <c r="Y409" s="633"/>
      <c r="Z409" s="624"/>
      <c r="AB409" s="630"/>
      <c r="AC409" s="630"/>
      <c r="AD409" s="630"/>
      <c r="AE409" s="630"/>
      <c r="AF409" s="630"/>
      <c r="AG409" s="630"/>
    </row>
    <row r="410" spans="1:33">
      <c r="A410" s="628"/>
      <c r="B410" s="628"/>
      <c r="C410" s="630"/>
      <c r="D410" s="628"/>
      <c r="E410" s="630"/>
      <c r="F410" s="629"/>
      <c r="G410" s="635"/>
      <c r="H410" s="624"/>
      <c r="I410" s="630"/>
      <c r="K410" s="633"/>
      <c r="M410" s="634"/>
      <c r="O410" s="769"/>
      <c r="Q410" s="627"/>
      <c r="R410" s="634"/>
      <c r="T410" s="624"/>
      <c r="W410" s="623"/>
      <c r="X410" s="623"/>
      <c r="Y410" s="633"/>
      <c r="Z410" s="624"/>
      <c r="AB410" s="630"/>
      <c r="AC410" s="630"/>
      <c r="AD410" s="630"/>
      <c r="AE410" s="630"/>
      <c r="AF410" s="630"/>
      <c r="AG410" s="630"/>
    </row>
    <row r="411" spans="1:33">
      <c r="A411" s="628"/>
      <c r="B411" s="628"/>
      <c r="C411" s="630"/>
      <c r="D411" s="628"/>
      <c r="E411" s="630"/>
      <c r="F411" s="629"/>
      <c r="G411" s="635"/>
      <c r="H411" s="624"/>
      <c r="I411" s="630"/>
      <c r="K411" s="633"/>
      <c r="M411" s="634"/>
      <c r="O411" s="769"/>
      <c r="Q411" s="627"/>
      <c r="R411" s="634"/>
      <c r="T411" s="624"/>
      <c r="W411" s="623"/>
      <c r="X411" s="623"/>
      <c r="Y411" s="633"/>
      <c r="Z411" s="624"/>
      <c r="AB411" s="630"/>
      <c r="AC411" s="630"/>
      <c r="AD411" s="630"/>
      <c r="AE411" s="630"/>
      <c r="AF411" s="630"/>
      <c r="AG411" s="630"/>
    </row>
    <row r="412" spans="1:33">
      <c r="A412" s="628"/>
      <c r="B412" s="628"/>
      <c r="C412" s="630"/>
      <c r="D412" s="628"/>
      <c r="E412" s="630"/>
      <c r="F412" s="629"/>
      <c r="G412" s="635"/>
      <c r="H412" s="624"/>
      <c r="I412" s="630"/>
      <c r="K412" s="633"/>
      <c r="M412" s="634"/>
      <c r="O412" s="769"/>
      <c r="Q412" s="627"/>
      <c r="R412" s="634"/>
      <c r="T412" s="624"/>
      <c r="W412" s="623"/>
      <c r="X412" s="623"/>
      <c r="Y412" s="633"/>
      <c r="Z412" s="624"/>
      <c r="AB412" s="630"/>
      <c r="AC412" s="630"/>
      <c r="AD412" s="630"/>
      <c r="AE412" s="630"/>
      <c r="AF412" s="630"/>
      <c r="AG412" s="630"/>
    </row>
    <row r="413" spans="1:33">
      <c r="A413" s="628"/>
      <c r="B413" s="628"/>
      <c r="C413" s="630"/>
      <c r="D413" s="628"/>
      <c r="E413" s="630"/>
      <c r="F413" s="629"/>
      <c r="G413" s="635"/>
      <c r="H413" s="624"/>
      <c r="I413" s="630"/>
      <c r="K413" s="633"/>
      <c r="M413" s="634"/>
      <c r="O413" s="769"/>
      <c r="Q413" s="627"/>
      <c r="R413" s="634"/>
      <c r="T413" s="624"/>
      <c r="W413" s="623"/>
      <c r="X413" s="623"/>
      <c r="Y413" s="633"/>
      <c r="Z413" s="624"/>
      <c r="AB413" s="630"/>
      <c r="AC413" s="630"/>
      <c r="AD413" s="630"/>
      <c r="AE413" s="630"/>
      <c r="AF413" s="630"/>
      <c r="AG413" s="630"/>
    </row>
    <row r="414" spans="1:33">
      <c r="A414" s="628"/>
      <c r="B414" s="628"/>
      <c r="C414" s="630"/>
      <c r="D414" s="628"/>
      <c r="E414" s="630"/>
      <c r="F414" s="629"/>
      <c r="G414" s="635"/>
      <c r="H414" s="624"/>
      <c r="I414" s="630"/>
      <c r="K414" s="633"/>
      <c r="M414" s="634"/>
      <c r="O414" s="769"/>
      <c r="Q414" s="627"/>
      <c r="R414" s="634"/>
      <c r="T414" s="624"/>
      <c r="W414" s="623"/>
      <c r="X414" s="623"/>
      <c r="Y414" s="633"/>
      <c r="Z414" s="624"/>
      <c r="AB414" s="630"/>
      <c r="AC414" s="630"/>
      <c r="AD414" s="630"/>
      <c r="AE414" s="630"/>
      <c r="AF414" s="630"/>
      <c r="AG414" s="630"/>
    </row>
    <row r="415" spans="1:33">
      <c r="A415" s="628"/>
      <c r="B415" s="628"/>
      <c r="C415" s="630"/>
      <c r="D415" s="628"/>
      <c r="E415" s="630"/>
      <c r="F415" s="629"/>
      <c r="G415" s="635"/>
      <c r="H415" s="624"/>
      <c r="I415" s="630"/>
      <c r="K415" s="633"/>
      <c r="M415" s="634"/>
      <c r="O415" s="769"/>
      <c r="Q415" s="627"/>
      <c r="R415" s="634"/>
      <c r="T415" s="624"/>
      <c r="W415" s="623"/>
      <c r="X415" s="623"/>
      <c r="Y415" s="633"/>
      <c r="Z415" s="624"/>
      <c r="AB415" s="630"/>
      <c r="AC415" s="630"/>
      <c r="AD415" s="630"/>
      <c r="AE415" s="630"/>
      <c r="AF415" s="630"/>
      <c r="AG415" s="630"/>
    </row>
    <row r="416" spans="1:33">
      <c r="A416" s="628"/>
      <c r="B416" s="628"/>
      <c r="C416" s="630"/>
      <c r="D416" s="628"/>
      <c r="E416" s="630"/>
      <c r="F416" s="629"/>
      <c r="G416" s="635"/>
      <c r="H416" s="624"/>
      <c r="I416" s="630"/>
      <c r="K416" s="633"/>
      <c r="M416" s="634"/>
      <c r="O416" s="769"/>
      <c r="Q416" s="627"/>
      <c r="R416" s="634"/>
      <c r="T416" s="624"/>
      <c r="W416" s="623"/>
      <c r="X416" s="623"/>
      <c r="Y416" s="633"/>
      <c r="Z416" s="624"/>
      <c r="AB416" s="630"/>
      <c r="AC416" s="630"/>
      <c r="AD416" s="630"/>
      <c r="AE416" s="630"/>
      <c r="AF416" s="630"/>
      <c r="AG416" s="630"/>
    </row>
    <row r="417" spans="1:33">
      <c r="A417" s="628"/>
      <c r="B417" s="628"/>
      <c r="C417" s="630"/>
      <c r="D417" s="628"/>
      <c r="E417" s="630"/>
      <c r="F417" s="629"/>
      <c r="G417" s="635"/>
      <c r="H417" s="624"/>
      <c r="I417" s="630"/>
      <c r="K417" s="633"/>
      <c r="M417" s="634"/>
      <c r="O417" s="769"/>
      <c r="Q417" s="627"/>
      <c r="R417" s="634"/>
      <c r="T417" s="624"/>
      <c r="W417" s="623"/>
      <c r="X417" s="623"/>
      <c r="Y417" s="633"/>
      <c r="Z417" s="624"/>
      <c r="AB417" s="630"/>
      <c r="AC417" s="630"/>
      <c r="AD417" s="630"/>
      <c r="AE417" s="630"/>
      <c r="AF417" s="630"/>
      <c r="AG417" s="630"/>
    </row>
    <row r="418" spans="1:33">
      <c r="A418" s="628"/>
      <c r="B418" s="628"/>
      <c r="C418" s="630"/>
      <c r="D418" s="628"/>
      <c r="E418" s="630"/>
      <c r="F418" s="629"/>
      <c r="G418" s="635"/>
      <c r="H418" s="624"/>
      <c r="I418" s="630"/>
      <c r="K418" s="633"/>
      <c r="M418" s="634"/>
      <c r="O418" s="769"/>
      <c r="Q418" s="627"/>
      <c r="R418" s="634"/>
      <c r="T418" s="624"/>
      <c r="W418" s="623"/>
      <c r="X418" s="623"/>
      <c r="Y418" s="633"/>
      <c r="Z418" s="624"/>
      <c r="AB418" s="630"/>
      <c r="AC418" s="630"/>
      <c r="AD418" s="630"/>
      <c r="AE418" s="630"/>
      <c r="AF418" s="630"/>
      <c r="AG418" s="630"/>
    </row>
    <row r="419" spans="1:33">
      <c r="A419" s="628"/>
      <c r="B419" s="628"/>
      <c r="C419" s="630"/>
      <c r="D419" s="628"/>
      <c r="E419" s="630"/>
      <c r="F419" s="629"/>
      <c r="G419" s="635"/>
      <c r="H419" s="624"/>
      <c r="I419" s="630"/>
      <c r="K419" s="633"/>
      <c r="M419" s="634"/>
      <c r="O419" s="769"/>
      <c r="Q419" s="627"/>
      <c r="R419" s="634"/>
      <c r="T419" s="624"/>
      <c r="W419" s="623"/>
      <c r="X419" s="623"/>
      <c r="Y419" s="633"/>
      <c r="Z419" s="624"/>
      <c r="AB419" s="630"/>
      <c r="AC419" s="630"/>
      <c r="AD419" s="630"/>
      <c r="AE419" s="630"/>
      <c r="AF419" s="630"/>
      <c r="AG419" s="630"/>
    </row>
    <row r="420" spans="1:33">
      <c r="A420" s="628"/>
      <c r="B420" s="628"/>
      <c r="C420" s="630"/>
      <c r="D420" s="628"/>
      <c r="E420" s="630"/>
      <c r="F420" s="629"/>
      <c r="G420" s="635"/>
      <c r="H420" s="624"/>
      <c r="I420" s="630"/>
      <c r="K420" s="633"/>
      <c r="M420" s="634"/>
      <c r="O420" s="769"/>
      <c r="Q420" s="627"/>
      <c r="R420" s="634"/>
      <c r="T420" s="624"/>
      <c r="W420" s="623"/>
      <c r="X420" s="623"/>
      <c r="Y420" s="633"/>
      <c r="Z420" s="624"/>
      <c r="AB420" s="630"/>
      <c r="AC420" s="630"/>
      <c r="AD420" s="630"/>
      <c r="AE420" s="630"/>
      <c r="AF420" s="630"/>
      <c r="AG420" s="630"/>
    </row>
    <row r="421" spans="1:33">
      <c r="A421" s="628"/>
      <c r="B421" s="628"/>
      <c r="C421" s="630"/>
      <c r="D421" s="628"/>
      <c r="E421" s="630"/>
      <c r="F421" s="629"/>
      <c r="G421" s="635"/>
      <c r="H421" s="624"/>
      <c r="I421" s="630"/>
      <c r="K421" s="633"/>
      <c r="M421" s="634"/>
      <c r="O421" s="769"/>
      <c r="Q421" s="627"/>
      <c r="R421" s="634"/>
      <c r="T421" s="624"/>
      <c r="W421" s="623"/>
      <c r="X421" s="623"/>
      <c r="Y421" s="633"/>
      <c r="Z421" s="624"/>
      <c r="AB421" s="630"/>
      <c r="AC421" s="630"/>
      <c r="AD421" s="630"/>
      <c r="AE421" s="630"/>
      <c r="AF421" s="630"/>
      <c r="AG421" s="630"/>
    </row>
    <row r="422" spans="1:33">
      <c r="A422" s="628"/>
      <c r="B422" s="628"/>
      <c r="C422" s="630"/>
      <c r="D422" s="628"/>
      <c r="E422" s="630"/>
      <c r="F422" s="629"/>
      <c r="G422" s="635"/>
      <c r="H422" s="624"/>
      <c r="I422" s="630"/>
      <c r="K422" s="633"/>
      <c r="M422" s="634"/>
      <c r="O422" s="769"/>
      <c r="Q422" s="627"/>
      <c r="R422" s="634"/>
      <c r="T422" s="624"/>
      <c r="W422" s="623"/>
      <c r="X422" s="623"/>
      <c r="Y422" s="633"/>
      <c r="Z422" s="624"/>
      <c r="AB422" s="630"/>
      <c r="AC422" s="630"/>
      <c r="AD422" s="630"/>
      <c r="AE422" s="630"/>
      <c r="AF422" s="630"/>
      <c r="AG422" s="630"/>
    </row>
    <row r="423" spans="1:33">
      <c r="A423" s="628"/>
      <c r="B423" s="628"/>
      <c r="C423" s="630"/>
      <c r="D423" s="628"/>
      <c r="E423" s="630"/>
      <c r="F423" s="629"/>
      <c r="G423" s="635"/>
      <c r="H423" s="624"/>
      <c r="I423" s="630"/>
      <c r="K423" s="633"/>
      <c r="M423" s="634"/>
      <c r="O423" s="769"/>
      <c r="Q423" s="627"/>
      <c r="R423" s="634"/>
      <c r="T423" s="624"/>
      <c r="W423" s="623"/>
      <c r="X423" s="623"/>
      <c r="Y423" s="633"/>
      <c r="Z423" s="624"/>
      <c r="AB423" s="630"/>
      <c r="AC423" s="630"/>
      <c r="AD423" s="630"/>
      <c r="AE423" s="630"/>
      <c r="AF423" s="630"/>
      <c r="AG423" s="630"/>
    </row>
    <row r="424" spans="1:33">
      <c r="A424" s="628"/>
      <c r="B424" s="628"/>
      <c r="C424" s="630"/>
      <c r="D424" s="628"/>
      <c r="E424" s="630"/>
      <c r="F424" s="629"/>
      <c r="G424" s="635"/>
      <c r="H424" s="624"/>
      <c r="I424" s="630"/>
      <c r="K424" s="633"/>
      <c r="M424" s="634"/>
      <c r="O424" s="769"/>
      <c r="Q424" s="627"/>
      <c r="R424" s="634"/>
      <c r="T424" s="624"/>
      <c r="W424" s="623"/>
      <c r="X424" s="623"/>
      <c r="Y424" s="633"/>
      <c r="Z424" s="624"/>
      <c r="AB424" s="630"/>
      <c r="AC424" s="630"/>
      <c r="AD424" s="630"/>
      <c r="AE424" s="630"/>
      <c r="AF424" s="630"/>
      <c r="AG424" s="630"/>
    </row>
    <row r="425" spans="1:33">
      <c r="A425" s="628"/>
      <c r="B425" s="628"/>
      <c r="C425" s="630"/>
      <c r="D425" s="628"/>
      <c r="E425" s="630"/>
      <c r="F425" s="629"/>
      <c r="G425" s="635"/>
      <c r="H425" s="624"/>
      <c r="I425" s="630"/>
      <c r="K425" s="633"/>
      <c r="M425" s="634"/>
      <c r="O425" s="769"/>
      <c r="Q425" s="627"/>
      <c r="R425" s="634"/>
      <c r="T425" s="624"/>
      <c r="W425" s="623"/>
      <c r="X425" s="623"/>
      <c r="Y425" s="633"/>
      <c r="Z425" s="624"/>
      <c r="AB425" s="630"/>
      <c r="AC425" s="630"/>
      <c r="AD425" s="630"/>
      <c r="AE425" s="630"/>
      <c r="AF425" s="630"/>
      <c r="AG425" s="630"/>
    </row>
    <row r="426" spans="1:33">
      <c r="A426" s="628"/>
      <c r="B426" s="628"/>
      <c r="C426" s="630"/>
      <c r="D426" s="628"/>
      <c r="E426" s="630"/>
      <c r="F426" s="629"/>
      <c r="G426" s="635"/>
      <c r="H426" s="624"/>
      <c r="I426" s="630"/>
      <c r="K426" s="633"/>
      <c r="M426" s="634"/>
      <c r="O426" s="769"/>
      <c r="Q426" s="627"/>
      <c r="R426" s="634"/>
      <c r="T426" s="624"/>
      <c r="W426" s="623"/>
      <c r="X426" s="623"/>
      <c r="Y426" s="633"/>
      <c r="Z426" s="624"/>
      <c r="AB426" s="630"/>
      <c r="AC426" s="630"/>
      <c r="AD426" s="630"/>
      <c r="AE426" s="630"/>
      <c r="AF426" s="630"/>
      <c r="AG426" s="630"/>
    </row>
    <row r="427" spans="1:33">
      <c r="A427" s="628"/>
      <c r="B427" s="628"/>
      <c r="C427" s="630"/>
      <c r="D427" s="628"/>
      <c r="E427" s="630"/>
      <c r="F427" s="629"/>
      <c r="G427" s="635"/>
      <c r="H427" s="624"/>
      <c r="I427" s="630"/>
      <c r="K427" s="633"/>
      <c r="M427" s="634"/>
      <c r="O427" s="769"/>
      <c r="Q427" s="627"/>
      <c r="R427" s="634"/>
      <c r="T427" s="624"/>
      <c r="W427" s="623"/>
      <c r="X427" s="623"/>
      <c r="Y427" s="633"/>
      <c r="Z427" s="624"/>
      <c r="AB427" s="630"/>
      <c r="AC427" s="630"/>
      <c r="AD427" s="630"/>
      <c r="AE427" s="630"/>
      <c r="AF427" s="630"/>
      <c r="AG427" s="630"/>
    </row>
    <row r="428" spans="1:33">
      <c r="A428" s="628"/>
      <c r="B428" s="628"/>
      <c r="C428" s="630"/>
      <c r="D428" s="628"/>
      <c r="E428" s="630"/>
      <c r="F428" s="629"/>
      <c r="G428" s="635"/>
      <c r="H428" s="624"/>
      <c r="I428" s="630"/>
      <c r="K428" s="633"/>
      <c r="M428" s="634"/>
      <c r="O428" s="769"/>
      <c r="Q428" s="627"/>
      <c r="R428" s="634"/>
      <c r="T428" s="624"/>
      <c r="W428" s="623"/>
      <c r="X428" s="623"/>
      <c r="Y428" s="633"/>
      <c r="Z428" s="624"/>
      <c r="AB428" s="630"/>
      <c r="AC428" s="630"/>
      <c r="AD428" s="630"/>
      <c r="AE428" s="630"/>
      <c r="AF428" s="630"/>
      <c r="AG428" s="630"/>
    </row>
    <row r="429" spans="1:33">
      <c r="A429" s="628"/>
      <c r="B429" s="628"/>
      <c r="C429" s="630"/>
      <c r="D429" s="628"/>
      <c r="E429" s="630"/>
      <c r="F429" s="629"/>
      <c r="G429" s="635"/>
      <c r="H429" s="624"/>
      <c r="I429" s="630"/>
      <c r="K429" s="633"/>
      <c r="M429" s="634"/>
      <c r="O429" s="769"/>
      <c r="Q429" s="627"/>
      <c r="R429" s="634"/>
      <c r="T429" s="624"/>
      <c r="W429" s="623"/>
      <c r="X429" s="623"/>
      <c r="Y429" s="633"/>
      <c r="Z429" s="624"/>
      <c r="AB429" s="630"/>
      <c r="AC429" s="630"/>
      <c r="AD429" s="630"/>
      <c r="AE429" s="630"/>
      <c r="AF429" s="630"/>
      <c r="AG429" s="630"/>
    </row>
    <row r="430" spans="1:33">
      <c r="A430" s="628"/>
      <c r="B430" s="628"/>
      <c r="C430" s="630"/>
      <c r="D430" s="628"/>
      <c r="E430" s="630"/>
      <c r="F430" s="629"/>
      <c r="G430" s="635"/>
      <c r="H430" s="624"/>
      <c r="I430" s="630"/>
      <c r="K430" s="633"/>
      <c r="M430" s="634"/>
      <c r="O430" s="769"/>
      <c r="Q430" s="627"/>
      <c r="R430" s="634"/>
      <c r="T430" s="624"/>
      <c r="W430" s="623"/>
      <c r="X430" s="623"/>
      <c r="Y430" s="633"/>
      <c r="Z430" s="624"/>
      <c r="AB430" s="630"/>
      <c r="AC430" s="630"/>
      <c r="AD430" s="630"/>
      <c r="AE430" s="630"/>
      <c r="AF430" s="630"/>
      <c r="AG430" s="630"/>
    </row>
    <row r="431" spans="1:33">
      <c r="A431" s="628"/>
      <c r="B431" s="628"/>
      <c r="C431" s="630"/>
      <c r="D431" s="628"/>
      <c r="E431" s="630"/>
      <c r="F431" s="629"/>
      <c r="G431" s="635"/>
      <c r="H431" s="624"/>
      <c r="I431" s="630"/>
      <c r="K431" s="633"/>
      <c r="M431" s="634"/>
      <c r="O431" s="769"/>
      <c r="Q431" s="627"/>
      <c r="R431" s="634"/>
      <c r="T431" s="624"/>
      <c r="W431" s="623"/>
      <c r="X431" s="623"/>
      <c r="Y431" s="633"/>
      <c r="Z431" s="624"/>
      <c r="AB431" s="630"/>
      <c r="AC431" s="630"/>
      <c r="AD431" s="630"/>
      <c r="AE431" s="630"/>
      <c r="AF431" s="630"/>
      <c r="AG431" s="630"/>
    </row>
    <row r="432" spans="1:33">
      <c r="A432" s="628"/>
      <c r="B432" s="628"/>
      <c r="C432" s="630"/>
      <c r="D432" s="628"/>
      <c r="E432" s="630"/>
      <c r="F432" s="629"/>
      <c r="G432" s="635"/>
      <c r="H432" s="624"/>
      <c r="I432" s="630"/>
      <c r="K432" s="633"/>
      <c r="M432" s="634"/>
      <c r="O432" s="769"/>
      <c r="Q432" s="627"/>
      <c r="R432" s="634"/>
      <c r="T432" s="624"/>
      <c r="W432" s="623"/>
      <c r="X432" s="623"/>
      <c r="Y432" s="633"/>
      <c r="Z432" s="624"/>
      <c r="AB432" s="630"/>
      <c r="AC432" s="630"/>
      <c r="AD432" s="630"/>
      <c r="AE432" s="630"/>
      <c r="AF432" s="630"/>
      <c r="AG432" s="630"/>
    </row>
    <row r="433" spans="1:33">
      <c r="A433" s="628"/>
      <c r="B433" s="628"/>
      <c r="C433" s="630"/>
      <c r="D433" s="628"/>
      <c r="E433" s="630"/>
      <c r="F433" s="629"/>
      <c r="G433" s="635"/>
      <c r="H433" s="624"/>
      <c r="I433" s="630"/>
      <c r="K433" s="633"/>
      <c r="M433" s="634"/>
      <c r="O433" s="769"/>
      <c r="Q433" s="627"/>
      <c r="R433" s="634"/>
      <c r="T433" s="624"/>
      <c r="W433" s="623"/>
      <c r="X433" s="623"/>
      <c r="Y433" s="633"/>
      <c r="Z433" s="624"/>
      <c r="AB433" s="630"/>
      <c r="AC433" s="630"/>
      <c r="AD433" s="630"/>
      <c r="AE433" s="630"/>
      <c r="AF433" s="630"/>
      <c r="AG433" s="630"/>
    </row>
    <row r="434" spans="1:33">
      <c r="A434" s="628"/>
      <c r="B434" s="628"/>
      <c r="C434" s="630"/>
      <c r="D434" s="628"/>
      <c r="E434" s="630"/>
      <c r="F434" s="629"/>
      <c r="G434" s="635"/>
      <c r="H434" s="624"/>
      <c r="I434" s="630"/>
      <c r="K434" s="633"/>
      <c r="M434" s="634"/>
      <c r="O434" s="769"/>
      <c r="Q434" s="627"/>
      <c r="R434" s="634"/>
      <c r="T434" s="624"/>
      <c r="W434" s="623"/>
      <c r="X434" s="623"/>
      <c r="Y434" s="633"/>
      <c r="Z434" s="624"/>
      <c r="AB434" s="630"/>
      <c r="AC434" s="630"/>
      <c r="AD434" s="630"/>
      <c r="AE434" s="630"/>
      <c r="AF434" s="630"/>
      <c r="AG434" s="630"/>
    </row>
    <row r="435" spans="1:33">
      <c r="A435" s="628"/>
      <c r="B435" s="628"/>
      <c r="C435" s="630"/>
      <c r="D435" s="628"/>
      <c r="E435" s="630"/>
      <c r="F435" s="629"/>
      <c r="G435" s="635"/>
      <c r="H435" s="624"/>
      <c r="I435" s="630"/>
      <c r="K435" s="633"/>
      <c r="M435" s="634"/>
      <c r="O435" s="769"/>
      <c r="Q435" s="627"/>
      <c r="R435" s="634"/>
      <c r="T435" s="624"/>
      <c r="W435" s="623"/>
      <c r="X435" s="623"/>
      <c r="Y435" s="633"/>
      <c r="Z435" s="624"/>
      <c r="AB435" s="630"/>
      <c r="AC435" s="630"/>
      <c r="AD435" s="630"/>
      <c r="AE435" s="630"/>
      <c r="AF435" s="630"/>
      <c r="AG435" s="630"/>
    </row>
    <row r="436" spans="1:33">
      <c r="A436" s="628"/>
      <c r="B436" s="628"/>
      <c r="C436" s="630"/>
      <c r="D436" s="628"/>
      <c r="E436" s="630"/>
      <c r="F436" s="629"/>
      <c r="G436" s="635"/>
      <c r="H436" s="624"/>
      <c r="I436" s="630"/>
      <c r="K436" s="633"/>
      <c r="M436" s="634"/>
      <c r="O436" s="769"/>
      <c r="Q436" s="627"/>
      <c r="R436" s="634"/>
      <c r="T436" s="624"/>
      <c r="W436" s="623"/>
      <c r="X436" s="623"/>
      <c r="Y436" s="633"/>
      <c r="Z436" s="624"/>
      <c r="AB436" s="630"/>
      <c r="AC436" s="630"/>
      <c r="AD436" s="630"/>
      <c r="AE436" s="630"/>
      <c r="AF436" s="630"/>
      <c r="AG436" s="630"/>
    </row>
    <row r="437" spans="1:33">
      <c r="A437" s="628"/>
      <c r="B437" s="628"/>
      <c r="C437" s="630"/>
      <c r="D437" s="628"/>
      <c r="E437" s="630"/>
      <c r="F437" s="629"/>
      <c r="G437" s="635"/>
      <c r="H437" s="624"/>
      <c r="I437" s="630"/>
      <c r="K437" s="633"/>
      <c r="M437" s="634"/>
      <c r="O437" s="769"/>
      <c r="Q437" s="627"/>
      <c r="R437" s="634"/>
      <c r="T437" s="624"/>
      <c r="W437" s="623"/>
      <c r="X437" s="623"/>
      <c r="Y437" s="633"/>
      <c r="Z437" s="624"/>
      <c r="AB437" s="630"/>
      <c r="AC437" s="630"/>
      <c r="AD437" s="630"/>
      <c r="AE437" s="630"/>
      <c r="AF437" s="630"/>
      <c r="AG437" s="630"/>
    </row>
    <row r="438" spans="1:33">
      <c r="A438" s="628"/>
      <c r="B438" s="628"/>
      <c r="C438" s="630"/>
      <c r="D438" s="628"/>
      <c r="E438" s="630"/>
      <c r="F438" s="629"/>
      <c r="G438" s="635"/>
      <c r="H438" s="624"/>
      <c r="I438" s="630"/>
      <c r="K438" s="633"/>
      <c r="M438" s="634"/>
      <c r="O438" s="769"/>
      <c r="Q438" s="627"/>
      <c r="R438" s="634"/>
      <c r="T438" s="624"/>
      <c r="W438" s="623"/>
      <c r="X438" s="623"/>
      <c r="Y438" s="633"/>
      <c r="Z438" s="624"/>
      <c r="AB438" s="630"/>
      <c r="AC438" s="630"/>
      <c r="AD438" s="630"/>
      <c r="AE438" s="630"/>
      <c r="AF438" s="630"/>
      <c r="AG438" s="630"/>
    </row>
    <row r="439" spans="1:33">
      <c r="A439" s="628"/>
      <c r="B439" s="628"/>
      <c r="C439" s="630"/>
      <c r="D439" s="628"/>
      <c r="E439" s="630"/>
      <c r="F439" s="629"/>
      <c r="G439" s="635"/>
      <c r="H439" s="624"/>
      <c r="I439" s="630"/>
      <c r="K439" s="633"/>
      <c r="M439" s="634"/>
      <c r="O439" s="769"/>
      <c r="Q439" s="627"/>
      <c r="R439" s="634"/>
      <c r="T439" s="624"/>
      <c r="W439" s="623"/>
      <c r="X439" s="623"/>
      <c r="Y439" s="633"/>
      <c r="Z439" s="624"/>
      <c r="AB439" s="630"/>
      <c r="AC439" s="630"/>
      <c r="AD439" s="630"/>
      <c r="AE439" s="630"/>
      <c r="AF439" s="630"/>
      <c r="AG439" s="630"/>
    </row>
    <row r="440" spans="1:33">
      <c r="A440" s="628"/>
      <c r="B440" s="628"/>
      <c r="C440" s="630"/>
      <c r="D440" s="628"/>
      <c r="E440" s="630"/>
      <c r="F440" s="629"/>
      <c r="G440" s="635"/>
      <c r="H440" s="624"/>
      <c r="I440" s="630"/>
      <c r="K440" s="633"/>
      <c r="M440" s="634"/>
      <c r="O440" s="769"/>
      <c r="Q440" s="627"/>
      <c r="R440" s="634"/>
      <c r="T440" s="624"/>
      <c r="W440" s="623"/>
      <c r="X440" s="623"/>
      <c r="Y440" s="633"/>
      <c r="Z440" s="624"/>
      <c r="AB440" s="630"/>
      <c r="AC440" s="630"/>
      <c r="AD440" s="630"/>
      <c r="AE440" s="630"/>
      <c r="AF440" s="630"/>
      <c r="AG440" s="630"/>
    </row>
    <row r="441" spans="1:33">
      <c r="A441" s="628"/>
      <c r="B441" s="628"/>
      <c r="C441" s="630"/>
      <c r="D441" s="628"/>
      <c r="E441" s="630"/>
      <c r="F441" s="629"/>
      <c r="G441" s="635"/>
      <c r="H441" s="624"/>
      <c r="I441" s="630"/>
      <c r="K441" s="633"/>
      <c r="M441" s="634"/>
      <c r="O441" s="769"/>
      <c r="Q441" s="627"/>
      <c r="R441" s="634"/>
      <c r="T441" s="624"/>
      <c r="W441" s="623"/>
      <c r="X441" s="623"/>
      <c r="Y441" s="633"/>
      <c r="Z441" s="624"/>
      <c r="AB441" s="630"/>
      <c r="AC441" s="630"/>
      <c r="AD441" s="630"/>
      <c r="AE441" s="630"/>
      <c r="AF441" s="630"/>
      <c r="AG441" s="630"/>
    </row>
    <row r="442" spans="1:33">
      <c r="A442" s="628"/>
      <c r="B442" s="628"/>
      <c r="C442" s="630"/>
      <c r="D442" s="628"/>
      <c r="E442" s="630"/>
      <c r="F442" s="629"/>
      <c r="G442" s="635"/>
      <c r="H442" s="624"/>
      <c r="I442" s="630"/>
      <c r="K442" s="633"/>
      <c r="M442" s="634"/>
      <c r="O442" s="769"/>
      <c r="Q442" s="627"/>
      <c r="R442" s="634"/>
      <c r="T442" s="624"/>
      <c r="W442" s="623"/>
      <c r="X442" s="623"/>
      <c r="Y442" s="633"/>
      <c r="Z442" s="624"/>
      <c r="AB442" s="630"/>
      <c r="AC442" s="630"/>
      <c r="AD442" s="630"/>
      <c r="AE442" s="630"/>
      <c r="AF442" s="630"/>
      <c r="AG442" s="630"/>
    </row>
    <row r="443" spans="1:33">
      <c r="A443" s="628"/>
      <c r="B443" s="628"/>
      <c r="C443" s="630"/>
      <c r="D443" s="628"/>
      <c r="E443" s="630"/>
      <c r="F443" s="629"/>
      <c r="G443" s="635"/>
      <c r="H443" s="624"/>
      <c r="I443" s="630"/>
      <c r="K443" s="633"/>
      <c r="M443" s="634"/>
      <c r="O443" s="769"/>
      <c r="Q443" s="627"/>
      <c r="R443" s="634"/>
      <c r="T443" s="624"/>
      <c r="W443" s="623"/>
      <c r="X443" s="623"/>
      <c r="Y443" s="633"/>
      <c r="Z443" s="624"/>
      <c r="AB443" s="630"/>
      <c r="AC443" s="630"/>
      <c r="AD443" s="630"/>
      <c r="AE443" s="630"/>
      <c r="AF443" s="630"/>
      <c r="AG443" s="630"/>
    </row>
    <row r="444" spans="1:33">
      <c r="A444" s="628"/>
      <c r="B444" s="628"/>
      <c r="C444" s="630"/>
      <c r="D444" s="628"/>
      <c r="E444" s="630"/>
      <c r="F444" s="629"/>
      <c r="G444" s="635"/>
      <c r="H444" s="624"/>
      <c r="I444" s="630"/>
      <c r="K444" s="633"/>
      <c r="M444" s="634"/>
      <c r="O444" s="769"/>
      <c r="Q444" s="627"/>
      <c r="R444" s="634"/>
      <c r="T444" s="624"/>
      <c r="W444" s="623"/>
      <c r="X444" s="623"/>
      <c r="Y444" s="633"/>
      <c r="Z444" s="624"/>
      <c r="AB444" s="630"/>
      <c r="AC444" s="630"/>
      <c r="AD444" s="630"/>
      <c r="AE444" s="630"/>
      <c r="AF444" s="630"/>
      <c r="AG444" s="630"/>
    </row>
    <row r="445" spans="1:33">
      <c r="A445" s="628"/>
      <c r="B445" s="628"/>
      <c r="C445" s="630"/>
      <c r="D445" s="628"/>
      <c r="E445" s="630"/>
      <c r="F445" s="629"/>
      <c r="G445" s="635"/>
      <c r="H445" s="624"/>
      <c r="I445" s="630"/>
      <c r="K445" s="633"/>
      <c r="M445" s="634"/>
      <c r="O445" s="769"/>
      <c r="Q445" s="627"/>
      <c r="R445" s="634"/>
      <c r="T445" s="624"/>
      <c r="W445" s="623"/>
      <c r="X445" s="623"/>
      <c r="Y445" s="633"/>
      <c r="Z445" s="624"/>
      <c r="AB445" s="630"/>
      <c r="AC445" s="630"/>
      <c r="AD445" s="630"/>
      <c r="AE445" s="630"/>
      <c r="AF445" s="630"/>
      <c r="AG445" s="630"/>
    </row>
    <row r="446" spans="1:33">
      <c r="A446" s="628"/>
      <c r="B446" s="628"/>
      <c r="C446" s="630"/>
      <c r="D446" s="628"/>
      <c r="E446" s="630"/>
      <c r="F446" s="629"/>
      <c r="G446" s="635"/>
      <c r="H446" s="624"/>
      <c r="I446" s="630"/>
      <c r="K446" s="633"/>
      <c r="M446" s="634"/>
      <c r="O446" s="769"/>
      <c r="Q446" s="627"/>
      <c r="R446" s="634"/>
      <c r="T446" s="624"/>
      <c r="W446" s="623"/>
      <c r="X446" s="623"/>
      <c r="Y446" s="633"/>
      <c r="Z446" s="624"/>
      <c r="AB446" s="630"/>
      <c r="AC446" s="630"/>
      <c r="AD446" s="630"/>
      <c r="AE446" s="630"/>
      <c r="AF446" s="630"/>
      <c r="AG446" s="630"/>
    </row>
    <row r="447" spans="1:33">
      <c r="A447" s="628"/>
      <c r="B447" s="628"/>
      <c r="C447" s="630"/>
      <c r="D447" s="628"/>
      <c r="E447" s="630"/>
      <c r="F447" s="629"/>
      <c r="G447" s="635"/>
      <c r="H447" s="624"/>
      <c r="I447" s="630"/>
      <c r="K447" s="633"/>
      <c r="M447" s="634"/>
      <c r="O447" s="769"/>
      <c r="Q447" s="627"/>
      <c r="R447" s="634"/>
      <c r="T447" s="624"/>
      <c r="W447" s="623"/>
      <c r="X447" s="623"/>
      <c r="Y447" s="633"/>
      <c r="Z447" s="624"/>
      <c r="AB447" s="630"/>
      <c r="AC447" s="630"/>
      <c r="AD447" s="630"/>
      <c r="AE447" s="630"/>
      <c r="AF447" s="630"/>
      <c r="AG447" s="630"/>
    </row>
    <row r="448" spans="1:33">
      <c r="A448" s="628"/>
      <c r="B448" s="628"/>
      <c r="C448" s="630"/>
      <c r="D448" s="628"/>
      <c r="E448" s="630"/>
      <c r="F448" s="629"/>
      <c r="G448" s="635"/>
      <c r="H448" s="624"/>
      <c r="I448" s="630"/>
      <c r="K448" s="633"/>
      <c r="M448" s="634"/>
      <c r="O448" s="769"/>
      <c r="Q448" s="627"/>
      <c r="R448" s="634"/>
      <c r="T448" s="624"/>
      <c r="W448" s="623"/>
      <c r="X448" s="623"/>
      <c r="Y448" s="633"/>
      <c r="Z448" s="624"/>
      <c r="AB448" s="630"/>
      <c r="AC448" s="630"/>
      <c r="AD448" s="630"/>
      <c r="AE448" s="630"/>
      <c r="AF448" s="630"/>
      <c r="AG448" s="630"/>
    </row>
    <row r="449" spans="1:33">
      <c r="A449" s="628"/>
      <c r="B449" s="628"/>
      <c r="C449" s="630"/>
      <c r="D449" s="628"/>
      <c r="E449" s="630"/>
      <c r="F449" s="629"/>
      <c r="G449" s="635"/>
      <c r="H449" s="624"/>
      <c r="I449" s="630"/>
      <c r="K449" s="633"/>
      <c r="M449" s="634"/>
      <c r="O449" s="769"/>
      <c r="Q449" s="627"/>
      <c r="R449" s="634"/>
      <c r="T449" s="624"/>
      <c r="W449" s="623"/>
      <c r="X449" s="623"/>
      <c r="Y449" s="633"/>
      <c r="Z449" s="624"/>
      <c r="AB449" s="630"/>
      <c r="AC449" s="630"/>
      <c r="AD449" s="630"/>
      <c r="AE449" s="630"/>
      <c r="AF449" s="630"/>
      <c r="AG449" s="630"/>
    </row>
    <row r="450" spans="1:33">
      <c r="A450" s="628"/>
      <c r="B450" s="628"/>
      <c r="C450" s="630"/>
      <c r="D450" s="628"/>
      <c r="E450" s="630"/>
      <c r="F450" s="629"/>
      <c r="G450" s="635"/>
      <c r="H450" s="624"/>
      <c r="I450" s="630"/>
      <c r="K450" s="633"/>
      <c r="M450" s="634"/>
      <c r="O450" s="769"/>
      <c r="Q450" s="627"/>
      <c r="R450" s="634"/>
      <c r="T450" s="624"/>
      <c r="W450" s="623"/>
      <c r="X450" s="623"/>
      <c r="Y450" s="633"/>
      <c r="Z450" s="624"/>
      <c r="AB450" s="630"/>
      <c r="AC450" s="630"/>
      <c r="AD450" s="630"/>
      <c r="AE450" s="630"/>
      <c r="AF450" s="630"/>
      <c r="AG450" s="630"/>
    </row>
    <row r="451" spans="1:33">
      <c r="A451" s="628"/>
      <c r="B451" s="628"/>
      <c r="C451" s="630"/>
      <c r="D451" s="628"/>
      <c r="E451" s="630"/>
      <c r="F451" s="629"/>
      <c r="G451" s="635"/>
      <c r="H451" s="624"/>
      <c r="I451" s="630"/>
      <c r="K451" s="633"/>
      <c r="M451" s="634"/>
      <c r="O451" s="769"/>
      <c r="Q451" s="627"/>
      <c r="R451" s="634"/>
      <c r="T451" s="624"/>
      <c r="W451" s="623"/>
      <c r="X451" s="623"/>
      <c r="Y451" s="633"/>
      <c r="Z451" s="624"/>
      <c r="AB451" s="630"/>
      <c r="AC451" s="630"/>
      <c r="AD451" s="630"/>
      <c r="AE451" s="630"/>
      <c r="AF451" s="630"/>
      <c r="AG451" s="630"/>
    </row>
    <row r="452" spans="1:33">
      <c r="A452" s="628"/>
      <c r="B452" s="628"/>
      <c r="C452" s="630"/>
      <c r="D452" s="628"/>
      <c r="E452" s="630"/>
      <c r="F452" s="629"/>
      <c r="G452" s="635"/>
      <c r="H452" s="624"/>
      <c r="I452" s="630"/>
      <c r="K452" s="633"/>
      <c r="M452" s="634"/>
      <c r="O452" s="769"/>
      <c r="Q452" s="627"/>
      <c r="R452" s="634"/>
      <c r="T452" s="624"/>
      <c r="W452" s="623"/>
      <c r="X452" s="623"/>
      <c r="Y452" s="633"/>
      <c r="Z452" s="624"/>
      <c r="AB452" s="630"/>
      <c r="AC452" s="630"/>
      <c r="AD452" s="630"/>
      <c r="AE452" s="630"/>
      <c r="AF452" s="630"/>
      <c r="AG452" s="630"/>
    </row>
    <row r="453" spans="1:33">
      <c r="A453" s="628"/>
      <c r="B453" s="628"/>
      <c r="C453" s="630"/>
      <c r="D453" s="628"/>
      <c r="E453" s="630"/>
      <c r="F453" s="629"/>
      <c r="G453" s="635"/>
      <c r="H453" s="624"/>
      <c r="I453" s="630"/>
      <c r="K453" s="633"/>
      <c r="M453" s="634"/>
      <c r="O453" s="769"/>
      <c r="Q453" s="627"/>
      <c r="R453" s="634"/>
      <c r="T453" s="624"/>
      <c r="W453" s="623"/>
      <c r="X453" s="623"/>
      <c r="Y453" s="633"/>
      <c r="Z453" s="624"/>
      <c r="AB453" s="630"/>
      <c r="AC453" s="630"/>
      <c r="AD453" s="630"/>
      <c r="AE453" s="630"/>
      <c r="AF453" s="630"/>
      <c r="AG453" s="630"/>
    </row>
    <row r="454" spans="1:33">
      <c r="A454" s="628"/>
      <c r="B454" s="628"/>
      <c r="C454" s="630"/>
      <c r="D454" s="628"/>
      <c r="E454" s="630"/>
      <c r="F454" s="629"/>
      <c r="G454" s="635"/>
      <c r="H454" s="624"/>
      <c r="I454" s="630"/>
      <c r="K454" s="633"/>
      <c r="M454" s="634"/>
      <c r="O454" s="769"/>
      <c r="Q454" s="627"/>
      <c r="R454" s="634"/>
      <c r="T454" s="624"/>
      <c r="W454" s="623"/>
      <c r="X454" s="623"/>
      <c r="Y454" s="633"/>
      <c r="Z454" s="624"/>
      <c r="AB454" s="630"/>
      <c r="AC454" s="630"/>
      <c r="AD454" s="630"/>
      <c r="AE454" s="630"/>
      <c r="AF454" s="630"/>
      <c r="AG454" s="630"/>
    </row>
    <row r="455" spans="1:33">
      <c r="A455" s="628"/>
      <c r="B455" s="628"/>
      <c r="C455" s="630"/>
      <c r="D455" s="628"/>
      <c r="E455" s="630"/>
      <c r="F455" s="629"/>
      <c r="G455" s="635"/>
      <c r="H455" s="624"/>
      <c r="I455" s="630"/>
      <c r="K455" s="633"/>
      <c r="M455" s="634"/>
      <c r="O455" s="769"/>
      <c r="Q455" s="627"/>
      <c r="R455" s="634"/>
      <c r="T455" s="624"/>
      <c r="W455" s="623"/>
      <c r="X455" s="623"/>
      <c r="Y455" s="633"/>
      <c r="Z455" s="624"/>
      <c r="AB455" s="630"/>
      <c r="AC455" s="630"/>
      <c r="AD455" s="630"/>
      <c r="AE455" s="630"/>
      <c r="AF455" s="630"/>
      <c r="AG455" s="630"/>
    </row>
    <row r="456" spans="1:33">
      <c r="A456" s="628"/>
      <c r="B456" s="628"/>
      <c r="C456" s="630"/>
      <c r="D456" s="628"/>
      <c r="E456" s="630"/>
      <c r="F456" s="629"/>
      <c r="G456" s="635"/>
      <c r="H456" s="624"/>
      <c r="I456" s="630"/>
      <c r="K456" s="633"/>
      <c r="M456" s="634"/>
      <c r="O456" s="769"/>
      <c r="Q456" s="627"/>
      <c r="R456" s="634"/>
      <c r="T456" s="624"/>
      <c r="W456" s="623"/>
      <c r="X456" s="623"/>
      <c r="Y456" s="633"/>
      <c r="Z456" s="624"/>
      <c r="AB456" s="630"/>
      <c r="AC456" s="630"/>
      <c r="AD456" s="630"/>
      <c r="AE456" s="630"/>
      <c r="AF456" s="630"/>
      <c r="AG456" s="630"/>
    </row>
    <row r="457" spans="1:33">
      <c r="A457" s="628"/>
      <c r="B457" s="628"/>
      <c r="C457" s="630"/>
      <c r="D457" s="628"/>
      <c r="E457" s="630"/>
      <c r="F457" s="629"/>
      <c r="G457" s="635"/>
      <c r="H457" s="624"/>
      <c r="I457" s="630"/>
      <c r="K457" s="633"/>
      <c r="M457" s="634"/>
      <c r="O457" s="769"/>
      <c r="Q457" s="627"/>
      <c r="R457" s="634"/>
      <c r="T457" s="624"/>
      <c r="W457" s="623"/>
      <c r="X457" s="623"/>
      <c r="Y457" s="633"/>
      <c r="Z457" s="624"/>
      <c r="AB457" s="630"/>
      <c r="AC457" s="630"/>
      <c r="AD457" s="630"/>
      <c r="AE457" s="630"/>
      <c r="AF457" s="630"/>
      <c r="AG457" s="630"/>
    </row>
    <row r="458" spans="1:33">
      <c r="A458" s="628"/>
      <c r="B458" s="628"/>
      <c r="C458" s="630"/>
      <c r="D458" s="628"/>
      <c r="E458" s="630"/>
      <c r="F458" s="629"/>
      <c r="G458" s="635"/>
      <c r="H458" s="624"/>
      <c r="I458" s="630"/>
      <c r="K458" s="633"/>
      <c r="M458" s="634"/>
      <c r="O458" s="769"/>
      <c r="Q458" s="627"/>
      <c r="R458" s="634"/>
      <c r="T458" s="624"/>
      <c r="W458" s="623"/>
      <c r="X458" s="623"/>
      <c r="Y458" s="633"/>
      <c r="Z458" s="624"/>
      <c r="AB458" s="630"/>
      <c r="AC458" s="630"/>
      <c r="AD458" s="630"/>
      <c r="AE458" s="630"/>
      <c r="AF458" s="630"/>
      <c r="AG458" s="630"/>
    </row>
    <row r="459" spans="1:33">
      <c r="A459" s="628"/>
      <c r="B459" s="628"/>
      <c r="C459" s="630"/>
      <c r="D459" s="628"/>
      <c r="E459" s="630"/>
      <c r="F459" s="629"/>
      <c r="G459" s="635"/>
      <c r="H459" s="624"/>
      <c r="I459" s="630"/>
      <c r="K459" s="633"/>
      <c r="M459" s="634"/>
      <c r="O459" s="769"/>
      <c r="Q459" s="627"/>
      <c r="R459" s="634"/>
      <c r="T459" s="624"/>
      <c r="W459" s="623"/>
      <c r="X459" s="623"/>
      <c r="Y459" s="633"/>
      <c r="Z459" s="624"/>
      <c r="AB459" s="630"/>
      <c r="AC459" s="630"/>
      <c r="AD459" s="630"/>
      <c r="AE459" s="630"/>
      <c r="AF459" s="630"/>
      <c r="AG459" s="630"/>
    </row>
    <row r="460" spans="1:33">
      <c r="A460" s="628"/>
      <c r="B460" s="628"/>
      <c r="C460" s="630"/>
      <c r="D460" s="628"/>
      <c r="E460" s="630"/>
      <c r="F460" s="629"/>
      <c r="G460" s="635"/>
      <c r="H460" s="624"/>
      <c r="I460" s="630"/>
      <c r="K460" s="633"/>
      <c r="M460" s="634"/>
      <c r="O460" s="769"/>
      <c r="Q460" s="627"/>
      <c r="R460" s="634"/>
      <c r="T460" s="624"/>
      <c r="W460" s="623"/>
      <c r="X460" s="623"/>
      <c r="Y460" s="633"/>
      <c r="Z460" s="624"/>
      <c r="AB460" s="630"/>
      <c r="AC460" s="630"/>
      <c r="AD460" s="630"/>
      <c r="AE460" s="630"/>
      <c r="AF460" s="630"/>
      <c r="AG460" s="630"/>
    </row>
    <row r="461" spans="1:33">
      <c r="A461" s="628"/>
      <c r="B461" s="628"/>
      <c r="C461" s="630"/>
      <c r="D461" s="628"/>
      <c r="E461" s="630"/>
      <c r="F461" s="629"/>
      <c r="G461" s="635"/>
      <c r="H461" s="624"/>
      <c r="I461" s="630"/>
      <c r="K461" s="633"/>
      <c r="M461" s="634"/>
      <c r="O461" s="769"/>
      <c r="Q461" s="627"/>
      <c r="R461" s="634"/>
      <c r="T461" s="624"/>
      <c r="W461" s="623"/>
      <c r="X461" s="623"/>
      <c r="Y461" s="633"/>
      <c r="Z461" s="624"/>
      <c r="AB461" s="630"/>
      <c r="AC461" s="630"/>
      <c r="AD461" s="630"/>
      <c r="AE461" s="630"/>
      <c r="AF461" s="630"/>
      <c r="AG461" s="630"/>
    </row>
    <row r="462" spans="1:33">
      <c r="A462" s="628"/>
      <c r="B462" s="628"/>
      <c r="C462" s="630"/>
      <c r="D462" s="628"/>
      <c r="E462" s="630"/>
      <c r="F462" s="629"/>
      <c r="G462" s="635"/>
      <c r="H462" s="624"/>
      <c r="I462" s="630"/>
      <c r="K462" s="633"/>
      <c r="M462" s="634"/>
      <c r="O462" s="769"/>
      <c r="Q462" s="627"/>
      <c r="R462" s="634"/>
      <c r="T462" s="624"/>
      <c r="W462" s="623"/>
      <c r="X462" s="623"/>
      <c r="Y462" s="633"/>
      <c r="Z462" s="624"/>
      <c r="AB462" s="630"/>
      <c r="AC462" s="630"/>
      <c r="AD462" s="630"/>
      <c r="AE462" s="630"/>
      <c r="AF462" s="630"/>
      <c r="AG462" s="630"/>
    </row>
    <row r="463" spans="1:33">
      <c r="A463" s="628"/>
      <c r="B463" s="628"/>
      <c r="C463" s="630"/>
      <c r="D463" s="628"/>
      <c r="E463" s="630"/>
      <c r="F463" s="629"/>
      <c r="G463" s="635"/>
      <c r="H463" s="624"/>
      <c r="I463" s="630"/>
      <c r="K463" s="633"/>
      <c r="M463" s="634"/>
      <c r="O463" s="769"/>
      <c r="Q463" s="627"/>
      <c r="R463" s="634"/>
      <c r="T463" s="624"/>
      <c r="W463" s="623"/>
      <c r="X463" s="623"/>
      <c r="Y463" s="633"/>
      <c r="Z463" s="624"/>
      <c r="AB463" s="630"/>
      <c r="AC463" s="630"/>
      <c r="AD463" s="630"/>
      <c r="AE463" s="630"/>
      <c r="AF463" s="630"/>
      <c r="AG463" s="630"/>
    </row>
    <row r="464" spans="1:33">
      <c r="A464" s="628"/>
      <c r="B464" s="628"/>
      <c r="C464" s="630"/>
      <c r="D464" s="628"/>
      <c r="E464" s="630"/>
      <c r="F464" s="629"/>
      <c r="G464" s="635"/>
      <c r="H464" s="624"/>
      <c r="I464" s="630"/>
      <c r="K464" s="633"/>
      <c r="M464" s="634"/>
      <c r="O464" s="769"/>
      <c r="Q464" s="627"/>
      <c r="R464" s="634"/>
      <c r="T464" s="624"/>
      <c r="W464" s="623"/>
      <c r="X464" s="623"/>
      <c r="Y464" s="633"/>
      <c r="Z464" s="624"/>
      <c r="AB464" s="630"/>
      <c r="AC464" s="630"/>
      <c r="AD464" s="630"/>
      <c r="AE464" s="630"/>
      <c r="AF464" s="630"/>
      <c r="AG464" s="630"/>
    </row>
    <row r="465" spans="1:33">
      <c r="A465" s="628"/>
      <c r="B465" s="628"/>
      <c r="C465" s="630"/>
      <c r="D465" s="628"/>
      <c r="E465" s="630"/>
      <c r="F465" s="629"/>
      <c r="G465" s="635"/>
      <c r="H465" s="624"/>
      <c r="I465" s="630"/>
      <c r="K465" s="633"/>
      <c r="M465" s="634"/>
      <c r="O465" s="769"/>
      <c r="Q465" s="627"/>
      <c r="R465" s="634"/>
      <c r="T465" s="624"/>
      <c r="W465" s="623"/>
      <c r="X465" s="623"/>
      <c r="Y465" s="633"/>
      <c r="Z465" s="624"/>
      <c r="AB465" s="630"/>
      <c r="AC465" s="630"/>
      <c r="AD465" s="630"/>
      <c r="AE465" s="630"/>
      <c r="AF465" s="630"/>
      <c r="AG465" s="630"/>
    </row>
    <row r="466" spans="1:33">
      <c r="A466" s="628"/>
      <c r="B466" s="628"/>
      <c r="C466" s="630"/>
      <c r="D466" s="628"/>
      <c r="E466" s="630"/>
      <c r="F466" s="629"/>
      <c r="G466" s="635"/>
      <c r="H466" s="624"/>
      <c r="I466" s="630"/>
      <c r="K466" s="633"/>
      <c r="M466" s="634"/>
      <c r="O466" s="769"/>
      <c r="Q466" s="627"/>
      <c r="R466" s="634"/>
      <c r="T466" s="624"/>
      <c r="W466" s="623"/>
      <c r="X466" s="623"/>
      <c r="Y466" s="633"/>
      <c r="Z466" s="624"/>
      <c r="AB466" s="630"/>
      <c r="AC466" s="630"/>
      <c r="AD466" s="630"/>
      <c r="AE466" s="630"/>
      <c r="AF466" s="630"/>
      <c r="AG466" s="630"/>
    </row>
    <row r="467" spans="1:33">
      <c r="A467" s="628"/>
      <c r="B467" s="628"/>
      <c r="C467" s="630"/>
      <c r="D467" s="628"/>
      <c r="E467" s="630"/>
      <c r="F467" s="629"/>
      <c r="G467" s="635"/>
      <c r="H467" s="624"/>
      <c r="I467" s="630"/>
      <c r="K467" s="633"/>
      <c r="M467" s="634"/>
      <c r="O467" s="769"/>
      <c r="Q467" s="627"/>
      <c r="R467" s="634"/>
      <c r="T467" s="624"/>
      <c r="W467" s="623"/>
      <c r="X467" s="623"/>
      <c r="Y467" s="633"/>
      <c r="Z467" s="624"/>
      <c r="AB467" s="630"/>
      <c r="AC467" s="630"/>
      <c r="AD467" s="630"/>
      <c r="AE467" s="630"/>
      <c r="AF467" s="630"/>
      <c r="AG467" s="630"/>
    </row>
    <row r="468" spans="1:33">
      <c r="A468" s="628"/>
      <c r="B468" s="628"/>
      <c r="C468" s="630"/>
      <c r="D468" s="628"/>
      <c r="E468" s="630"/>
      <c r="F468" s="629"/>
      <c r="G468" s="635"/>
      <c r="H468" s="624"/>
      <c r="I468" s="630"/>
      <c r="K468" s="633"/>
      <c r="M468" s="634"/>
      <c r="O468" s="769"/>
      <c r="Q468" s="627"/>
      <c r="R468" s="634"/>
      <c r="T468" s="624"/>
      <c r="W468" s="623"/>
      <c r="X468" s="623"/>
      <c r="Y468" s="633"/>
      <c r="Z468" s="624"/>
      <c r="AB468" s="630"/>
      <c r="AC468" s="630"/>
      <c r="AD468" s="630"/>
      <c r="AE468" s="630"/>
      <c r="AF468" s="630"/>
      <c r="AG468" s="630"/>
    </row>
    <row r="469" spans="1:33">
      <c r="A469" s="628"/>
      <c r="B469" s="628"/>
      <c r="C469" s="630"/>
      <c r="D469" s="628"/>
      <c r="E469" s="630"/>
      <c r="F469" s="629"/>
      <c r="G469" s="635"/>
      <c r="H469" s="624"/>
      <c r="I469" s="630"/>
      <c r="K469" s="633"/>
      <c r="M469" s="634"/>
      <c r="O469" s="769"/>
      <c r="Q469" s="627"/>
      <c r="R469" s="634"/>
      <c r="T469" s="624"/>
      <c r="W469" s="623"/>
      <c r="X469" s="623"/>
      <c r="Y469" s="633"/>
      <c r="Z469" s="624"/>
      <c r="AB469" s="630"/>
      <c r="AC469" s="630"/>
      <c r="AD469" s="630"/>
      <c r="AE469" s="630"/>
      <c r="AF469" s="630"/>
      <c r="AG469" s="630"/>
    </row>
    <row r="470" spans="1:33">
      <c r="A470" s="628"/>
      <c r="B470" s="628"/>
      <c r="C470" s="630"/>
      <c r="D470" s="628"/>
      <c r="E470" s="630"/>
      <c r="F470" s="629"/>
      <c r="G470" s="635"/>
      <c r="H470" s="624"/>
      <c r="I470" s="630"/>
      <c r="K470" s="633"/>
      <c r="M470" s="634"/>
      <c r="O470" s="769"/>
      <c r="Q470" s="627"/>
      <c r="R470" s="634"/>
      <c r="T470" s="624"/>
      <c r="W470" s="623"/>
      <c r="X470" s="623"/>
      <c r="Y470" s="633"/>
      <c r="Z470" s="624"/>
      <c r="AB470" s="630"/>
      <c r="AC470" s="630"/>
      <c r="AD470" s="630"/>
      <c r="AE470" s="630"/>
      <c r="AF470" s="630"/>
      <c r="AG470" s="630"/>
    </row>
    <row r="471" spans="1:33">
      <c r="A471" s="628"/>
      <c r="B471" s="628"/>
      <c r="C471" s="630"/>
      <c r="D471" s="628"/>
      <c r="E471" s="630"/>
      <c r="F471" s="629"/>
      <c r="G471" s="635"/>
      <c r="H471" s="624"/>
      <c r="I471" s="630"/>
      <c r="K471" s="633"/>
      <c r="M471" s="634"/>
      <c r="O471" s="769"/>
      <c r="Q471" s="627"/>
      <c r="R471" s="634"/>
      <c r="T471" s="624"/>
      <c r="W471" s="623"/>
      <c r="X471" s="623"/>
      <c r="Y471" s="633"/>
      <c r="Z471" s="624"/>
      <c r="AB471" s="630"/>
      <c r="AC471" s="630"/>
      <c r="AD471" s="630"/>
      <c r="AE471" s="630"/>
      <c r="AF471" s="630"/>
      <c r="AG471" s="630"/>
    </row>
    <row r="472" spans="1:33">
      <c r="A472" s="628"/>
      <c r="B472" s="628"/>
      <c r="C472" s="630"/>
      <c r="D472" s="628"/>
      <c r="E472" s="630"/>
      <c r="F472" s="629"/>
      <c r="G472" s="635"/>
      <c r="H472" s="624"/>
      <c r="I472" s="630"/>
      <c r="K472" s="633"/>
      <c r="M472" s="634"/>
      <c r="O472" s="769"/>
      <c r="Q472" s="627"/>
      <c r="R472" s="634"/>
      <c r="T472" s="624"/>
      <c r="W472" s="623"/>
      <c r="X472" s="623"/>
      <c r="Y472" s="633"/>
      <c r="Z472" s="624"/>
      <c r="AB472" s="630"/>
      <c r="AC472" s="630"/>
      <c r="AD472" s="630"/>
      <c r="AE472" s="630"/>
      <c r="AF472" s="630"/>
      <c r="AG472" s="630"/>
    </row>
    <row r="473" spans="1:33">
      <c r="A473" s="628"/>
      <c r="B473" s="628"/>
      <c r="C473" s="630"/>
      <c r="D473" s="628"/>
      <c r="E473" s="630"/>
      <c r="F473" s="629"/>
      <c r="G473" s="635"/>
      <c r="H473" s="624"/>
      <c r="I473" s="630"/>
      <c r="K473" s="633"/>
      <c r="M473" s="634"/>
      <c r="O473" s="769"/>
      <c r="Q473" s="627"/>
      <c r="R473" s="634"/>
      <c r="T473" s="624"/>
      <c r="W473" s="623"/>
      <c r="X473" s="623"/>
      <c r="Y473" s="633"/>
      <c r="Z473" s="624"/>
      <c r="AB473" s="630"/>
      <c r="AC473" s="630"/>
      <c r="AD473" s="630"/>
      <c r="AE473" s="630"/>
      <c r="AF473" s="630"/>
      <c r="AG473" s="630"/>
    </row>
    <row r="474" spans="1:33">
      <c r="A474" s="628"/>
      <c r="B474" s="628"/>
      <c r="C474" s="630"/>
      <c r="D474" s="628"/>
      <c r="E474" s="630"/>
      <c r="F474" s="629"/>
      <c r="G474" s="635"/>
      <c r="H474" s="624"/>
      <c r="I474" s="630"/>
      <c r="K474" s="633"/>
      <c r="M474" s="634"/>
      <c r="O474" s="769"/>
      <c r="Q474" s="627"/>
      <c r="R474" s="634"/>
      <c r="T474" s="624"/>
      <c r="W474" s="623"/>
      <c r="X474" s="623"/>
      <c r="Y474" s="633"/>
      <c r="Z474" s="624"/>
      <c r="AB474" s="630"/>
      <c r="AC474" s="630"/>
      <c r="AD474" s="630"/>
      <c r="AE474" s="630"/>
      <c r="AF474" s="630"/>
      <c r="AG474" s="630"/>
    </row>
    <row r="475" spans="1:33">
      <c r="A475" s="628"/>
      <c r="B475" s="628"/>
      <c r="C475" s="630"/>
      <c r="D475" s="628"/>
      <c r="E475" s="630"/>
      <c r="F475" s="629"/>
      <c r="G475" s="635"/>
      <c r="H475" s="624"/>
      <c r="I475" s="630"/>
      <c r="K475" s="633"/>
      <c r="M475" s="634"/>
      <c r="O475" s="769"/>
      <c r="Q475" s="627"/>
      <c r="R475" s="634"/>
      <c r="T475" s="624"/>
      <c r="W475" s="623"/>
      <c r="X475" s="623"/>
      <c r="Y475" s="633"/>
      <c r="Z475" s="624"/>
      <c r="AB475" s="630"/>
      <c r="AC475" s="630"/>
      <c r="AD475" s="630"/>
      <c r="AE475" s="630"/>
      <c r="AF475" s="630"/>
      <c r="AG475" s="630"/>
    </row>
    <row r="476" spans="1:33">
      <c r="A476" s="628"/>
      <c r="B476" s="628"/>
      <c r="C476" s="630"/>
      <c r="D476" s="628"/>
      <c r="E476" s="630"/>
      <c r="F476" s="629"/>
      <c r="G476" s="635"/>
      <c r="H476" s="624"/>
      <c r="I476" s="630"/>
      <c r="K476" s="633"/>
      <c r="M476" s="634"/>
      <c r="O476" s="769"/>
      <c r="Q476" s="627"/>
      <c r="R476" s="634"/>
      <c r="T476" s="624"/>
      <c r="W476" s="623"/>
      <c r="X476" s="623"/>
      <c r="Y476" s="633"/>
      <c r="Z476" s="624"/>
      <c r="AB476" s="630"/>
      <c r="AC476" s="630"/>
      <c r="AD476" s="630"/>
      <c r="AE476" s="630"/>
      <c r="AF476" s="630"/>
      <c r="AG476" s="630"/>
    </row>
    <row r="477" spans="1:33">
      <c r="A477" s="628"/>
      <c r="B477" s="628"/>
      <c r="C477" s="630"/>
      <c r="D477" s="628"/>
      <c r="E477" s="630"/>
      <c r="F477" s="629"/>
      <c r="G477" s="635"/>
      <c r="H477" s="624"/>
      <c r="I477" s="630"/>
      <c r="K477" s="633"/>
      <c r="M477" s="634"/>
      <c r="O477" s="769"/>
      <c r="Q477" s="627"/>
      <c r="R477" s="634"/>
      <c r="T477" s="624"/>
      <c r="W477" s="623"/>
      <c r="X477" s="623"/>
      <c r="Y477" s="633"/>
      <c r="Z477" s="624"/>
      <c r="AB477" s="630"/>
      <c r="AC477" s="630"/>
      <c r="AD477" s="630"/>
      <c r="AE477" s="630"/>
      <c r="AF477" s="630"/>
      <c r="AG477" s="630"/>
    </row>
    <row r="478" spans="1:33">
      <c r="A478" s="628"/>
      <c r="B478" s="628"/>
      <c r="C478" s="630"/>
      <c r="D478" s="628"/>
      <c r="E478" s="630"/>
      <c r="F478" s="629"/>
      <c r="G478" s="635"/>
      <c r="H478" s="624"/>
      <c r="I478" s="630"/>
      <c r="K478" s="633"/>
      <c r="M478" s="634"/>
      <c r="O478" s="769"/>
      <c r="Q478" s="627"/>
      <c r="R478" s="634"/>
      <c r="T478" s="624"/>
      <c r="W478" s="623"/>
      <c r="X478" s="623"/>
      <c r="Y478" s="633"/>
      <c r="Z478" s="624"/>
      <c r="AB478" s="630"/>
      <c r="AC478" s="630"/>
      <c r="AD478" s="630"/>
      <c r="AE478" s="630"/>
      <c r="AF478" s="630"/>
      <c r="AG478" s="630"/>
    </row>
    <row r="479" spans="1:33">
      <c r="A479" s="628"/>
      <c r="B479" s="628"/>
      <c r="C479" s="630"/>
      <c r="D479" s="628"/>
      <c r="E479" s="630"/>
      <c r="F479" s="629"/>
      <c r="G479" s="635"/>
      <c r="H479" s="624"/>
      <c r="I479" s="630"/>
      <c r="K479" s="633"/>
      <c r="M479" s="634"/>
      <c r="O479" s="769"/>
      <c r="Q479" s="627"/>
      <c r="R479" s="634"/>
      <c r="T479" s="624"/>
      <c r="W479" s="623"/>
      <c r="X479" s="623"/>
      <c r="Y479" s="633"/>
      <c r="Z479" s="624"/>
      <c r="AB479" s="630"/>
      <c r="AC479" s="630"/>
      <c r="AD479" s="630"/>
      <c r="AE479" s="630"/>
      <c r="AF479" s="630"/>
      <c r="AG479" s="630"/>
    </row>
    <row r="480" spans="1:33">
      <c r="A480" s="628"/>
      <c r="B480" s="628"/>
      <c r="C480" s="630"/>
      <c r="D480" s="628"/>
      <c r="E480" s="630"/>
      <c r="F480" s="629"/>
      <c r="G480" s="635"/>
      <c r="H480" s="624"/>
      <c r="I480" s="630"/>
      <c r="K480" s="633"/>
      <c r="M480" s="634"/>
      <c r="O480" s="769"/>
      <c r="Q480" s="627"/>
      <c r="R480" s="634"/>
      <c r="T480" s="624"/>
      <c r="W480" s="623"/>
      <c r="X480" s="623"/>
      <c r="Y480" s="633"/>
      <c r="Z480" s="624"/>
      <c r="AB480" s="630"/>
      <c r="AC480" s="630"/>
      <c r="AD480" s="630"/>
      <c r="AE480" s="630"/>
      <c r="AF480" s="630"/>
      <c r="AG480" s="630"/>
    </row>
    <row r="481" spans="1:33">
      <c r="A481" s="628"/>
      <c r="B481" s="628"/>
      <c r="C481" s="630"/>
      <c r="D481" s="628"/>
      <c r="E481" s="630"/>
      <c r="F481" s="629"/>
      <c r="G481" s="635"/>
      <c r="H481" s="624"/>
      <c r="I481" s="630"/>
      <c r="K481" s="633"/>
      <c r="M481" s="634"/>
      <c r="O481" s="769"/>
      <c r="Q481" s="627"/>
      <c r="R481" s="634"/>
      <c r="T481" s="624"/>
      <c r="W481" s="623"/>
      <c r="X481" s="623"/>
      <c r="Y481" s="633"/>
      <c r="Z481" s="624"/>
      <c r="AB481" s="630"/>
      <c r="AC481" s="630"/>
      <c r="AD481" s="630"/>
      <c r="AE481" s="630"/>
      <c r="AF481" s="630"/>
      <c r="AG481" s="630"/>
    </row>
    <row r="482" spans="1:33">
      <c r="A482" s="628"/>
      <c r="B482" s="628"/>
      <c r="C482" s="630"/>
      <c r="D482" s="628"/>
      <c r="E482" s="630"/>
      <c r="F482" s="629"/>
      <c r="G482" s="635"/>
      <c r="H482" s="624"/>
      <c r="I482" s="630"/>
      <c r="K482" s="633"/>
      <c r="M482" s="634"/>
      <c r="O482" s="769"/>
      <c r="Q482" s="627"/>
      <c r="R482" s="634"/>
      <c r="T482" s="624"/>
      <c r="W482" s="623"/>
      <c r="X482" s="623"/>
      <c r="Y482" s="633"/>
      <c r="Z482" s="624"/>
      <c r="AB482" s="630"/>
      <c r="AC482" s="630"/>
      <c r="AD482" s="630"/>
      <c r="AE482" s="630"/>
      <c r="AF482" s="630"/>
      <c r="AG482" s="630"/>
    </row>
    <row r="483" spans="1:33">
      <c r="A483" s="628"/>
      <c r="B483" s="628"/>
      <c r="C483" s="630"/>
      <c r="D483" s="628"/>
      <c r="E483" s="630"/>
      <c r="F483" s="629"/>
      <c r="G483" s="635"/>
      <c r="H483" s="624"/>
      <c r="I483" s="630"/>
      <c r="K483" s="633"/>
      <c r="M483" s="634"/>
      <c r="O483" s="769"/>
      <c r="Q483" s="627"/>
      <c r="R483" s="634"/>
      <c r="T483" s="624"/>
      <c r="W483" s="623"/>
      <c r="X483" s="623"/>
      <c r="Y483" s="633"/>
      <c r="Z483" s="624"/>
      <c r="AB483" s="630"/>
      <c r="AC483" s="630"/>
      <c r="AD483" s="630"/>
      <c r="AE483" s="630"/>
      <c r="AF483" s="630"/>
      <c r="AG483" s="630"/>
    </row>
    <row r="484" spans="1:33">
      <c r="A484" s="628"/>
      <c r="B484" s="628"/>
      <c r="C484" s="630"/>
      <c r="D484" s="628"/>
      <c r="E484" s="630"/>
      <c r="F484" s="629"/>
      <c r="G484" s="635"/>
      <c r="H484" s="624"/>
      <c r="I484" s="630"/>
      <c r="K484" s="633"/>
      <c r="M484" s="634"/>
      <c r="O484" s="769"/>
      <c r="Q484" s="627"/>
      <c r="R484" s="634"/>
      <c r="T484" s="624"/>
      <c r="W484" s="623"/>
      <c r="X484" s="623"/>
      <c r="Y484" s="633"/>
      <c r="Z484" s="624"/>
      <c r="AB484" s="630"/>
      <c r="AC484" s="630"/>
      <c r="AD484" s="630"/>
      <c r="AE484" s="630"/>
      <c r="AF484" s="630"/>
      <c r="AG484" s="630"/>
    </row>
    <row r="485" spans="1:33">
      <c r="A485" s="628"/>
      <c r="B485" s="628"/>
      <c r="C485" s="630"/>
      <c r="D485" s="628"/>
      <c r="E485" s="630"/>
      <c r="F485" s="629"/>
      <c r="G485" s="635"/>
      <c r="H485" s="624"/>
      <c r="I485" s="630"/>
      <c r="K485" s="633"/>
      <c r="M485" s="634"/>
      <c r="O485" s="769"/>
      <c r="Q485" s="627"/>
      <c r="R485" s="634"/>
      <c r="T485" s="624"/>
      <c r="W485" s="623"/>
      <c r="X485" s="623"/>
      <c r="Y485" s="633"/>
      <c r="Z485" s="624"/>
      <c r="AB485" s="630"/>
      <c r="AC485" s="630"/>
      <c r="AD485" s="630"/>
      <c r="AE485" s="630"/>
      <c r="AF485" s="630"/>
      <c r="AG485" s="630"/>
    </row>
    <row r="486" spans="1:33">
      <c r="A486" s="628"/>
      <c r="B486" s="628"/>
      <c r="C486" s="630"/>
      <c r="D486" s="628"/>
      <c r="E486" s="630"/>
      <c r="F486" s="629"/>
      <c r="G486" s="635"/>
      <c r="H486" s="624"/>
      <c r="I486" s="630"/>
      <c r="K486" s="633"/>
      <c r="M486" s="634"/>
      <c r="O486" s="769"/>
      <c r="Q486" s="627"/>
      <c r="R486" s="634"/>
      <c r="T486" s="624"/>
      <c r="W486" s="623"/>
      <c r="X486" s="623"/>
      <c r="Y486" s="633"/>
      <c r="Z486" s="624"/>
      <c r="AB486" s="630"/>
      <c r="AC486" s="630"/>
      <c r="AD486" s="630"/>
      <c r="AE486" s="630"/>
      <c r="AF486" s="630"/>
      <c r="AG486" s="630"/>
    </row>
    <row r="487" spans="1:33">
      <c r="A487" s="628"/>
      <c r="B487" s="628"/>
      <c r="C487" s="630"/>
      <c r="D487" s="628"/>
      <c r="E487" s="630"/>
      <c r="F487" s="629"/>
      <c r="G487" s="635"/>
      <c r="H487" s="624"/>
      <c r="I487" s="630"/>
      <c r="K487" s="633"/>
      <c r="M487" s="634"/>
      <c r="O487" s="769"/>
      <c r="Q487" s="627"/>
      <c r="R487" s="634"/>
      <c r="T487" s="624"/>
      <c r="W487" s="623"/>
      <c r="X487" s="623"/>
      <c r="Y487" s="633"/>
      <c r="Z487" s="624"/>
      <c r="AB487" s="630"/>
      <c r="AC487" s="630"/>
      <c r="AD487" s="630"/>
      <c r="AE487" s="630"/>
      <c r="AF487" s="630"/>
      <c r="AG487" s="630"/>
    </row>
    <row r="488" spans="1:33">
      <c r="A488" s="628"/>
      <c r="B488" s="628"/>
      <c r="C488" s="630"/>
      <c r="D488" s="628"/>
      <c r="E488" s="630"/>
      <c r="F488" s="629"/>
      <c r="G488" s="635"/>
      <c r="H488" s="624"/>
      <c r="I488" s="630"/>
      <c r="K488" s="633"/>
      <c r="M488" s="634"/>
      <c r="O488" s="769"/>
      <c r="Q488" s="627"/>
      <c r="R488" s="634"/>
      <c r="T488" s="624"/>
      <c r="W488" s="623"/>
      <c r="X488" s="623"/>
      <c r="Y488" s="633"/>
      <c r="Z488" s="624"/>
      <c r="AB488" s="630"/>
      <c r="AC488" s="630"/>
      <c r="AD488" s="630"/>
      <c r="AE488" s="630"/>
      <c r="AF488" s="630"/>
      <c r="AG488" s="630"/>
    </row>
    <row r="489" spans="1:33">
      <c r="A489" s="628"/>
      <c r="B489" s="628"/>
      <c r="C489" s="630"/>
      <c r="D489" s="628"/>
      <c r="E489" s="630"/>
      <c r="F489" s="629"/>
      <c r="G489" s="635"/>
      <c r="H489" s="624"/>
      <c r="I489" s="630"/>
      <c r="K489" s="633"/>
      <c r="M489" s="634"/>
      <c r="O489" s="769"/>
      <c r="Q489" s="627"/>
      <c r="R489" s="634"/>
      <c r="T489" s="624"/>
      <c r="W489" s="623"/>
      <c r="X489" s="623"/>
      <c r="Y489" s="633"/>
      <c r="Z489" s="624"/>
      <c r="AB489" s="630"/>
      <c r="AC489" s="630"/>
      <c r="AD489" s="630"/>
      <c r="AE489" s="630"/>
      <c r="AF489" s="630"/>
      <c r="AG489" s="630"/>
    </row>
    <row r="490" spans="1:33">
      <c r="A490" s="628"/>
      <c r="B490" s="628"/>
      <c r="C490" s="630"/>
      <c r="D490" s="628"/>
      <c r="E490" s="630"/>
      <c r="F490" s="629"/>
      <c r="G490" s="635"/>
      <c r="H490" s="624"/>
      <c r="I490" s="630"/>
      <c r="K490" s="633"/>
      <c r="M490" s="634"/>
      <c r="O490" s="769"/>
      <c r="Q490" s="627"/>
      <c r="R490" s="634"/>
      <c r="T490" s="624"/>
      <c r="W490" s="623"/>
      <c r="X490" s="623"/>
      <c r="Y490" s="633"/>
      <c r="Z490" s="624"/>
      <c r="AB490" s="630"/>
      <c r="AC490" s="630"/>
      <c r="AD490" s="630"/>
      <c r="AE490" s="630"/>
      <c r="AF490" s="630"/>
      <c r="AG490" s="630"/>
    </row>
    <row r="491" spans="1:33">
      <c r="A491" s="628"/>
      <c r="B491" s="628"/>
      <c r="C491" s="630"/>
      <c r="D491" s="628"/>
      <c r="E491" s="630"/>
      <c r="F491" s="629"/>
      <c r="G491" s="635"/>
      <c r="H491" s="624"/>
      <c r="I491" s="630"/>
      <c r="K491" s="633"/>
      <c r="M491" s="634"/>
      <c r="O491" s="769"/>
      <c r="Q491" s="627"/>
      <c r="R491" s="634"/>
      <c r="T491" s="624"/>
      <c r="W491" s="623"/>
      <c r="X491" s="623"/>
      <c r="Y491" s="633"/>
      <c r="Z491" s="624"/>
      <c r="AB491" s="630"/>
      <c r="AC491" s="630"/>
      <c r="AD491" s="630"/>
      <c r="AE491" s="630"/>
      <c r="AF491" s="630"/>
      <c r="AG491" s="630"/>
    </row>
    <row r="492" spans="1:33">
      <c r="A492" s="628"/>
      <c r="B492" s="628"/>
      <c r="C492" s="630"/>
      <c r="D492" s="628"/>
      <c r="E492" s="630"/>
      <c r="F492" s="629"/>
      <c r="G492" s="635"/>
      <c r="H492" s="624"/>
      <c r="I492" s="630"/>
      <c r="K492" s="633"/>
      <c r="M492" s="634"/>
      <c r="O492" s="769"/>
      <c r="Q492" s="627"/>
      <c r="R492" s="634"/>
      <c r="T492" s="624"/>
      <c r="W492" s="623"/>
      <c r="X492" s="623"/>
      <c r="Y492" s="633"/>
      <c r="Z492" s="624"/>
      <c r="AB492" s="630"/>
      <c r="AC492" s="630"/>
      <c r="AD492" s="630"/>
      <c r="AE492" s="630"/>
      <c r="AF492" s="630"/>
      <c r="AG492" s="630"/>
    </row>
    <row r="493" spans="1:33">
      <c r="A493" s="628"/>
      <c r="B493" s="628"/>
      <c r="C493" s="630"/>
      <c r="D493" s="628"/>
      <c r="E493" s="630"/>
      <c r="F493" s="629"/>
      <c r="G493" s="635"/>
      <c r="H493" s="624"/>
      <c r="I493" s="630"/>
      <c r="K493" s="633"/>
      <c r="M493" s="634"/>
      <c r="O493" s="769"/>
      <c r="Q493" s="627"/>
      <c r="R493" s="634"/>
      <c r="T493" s="624"/>
      <c r="W493" s="623"/>
      <c r="X493" s="623"/>
      <c r="Y493" s="633"/>
      <c r="Z493" s="624"/>
      <c r="AB493" s="630"/>
      <c r="AC493" s="630"/>
      <c r="AD493" s="630"/>
      <c r="AE493" s="630"/>
      <c r="AF493" s="630"/>
      <c r="AG493" s="630"/>
    </row>
    <row r="494" spans="1:33">
      <c r="A494" s="628"/>
      <c r="B494" s="628"/>
      <c r="C494" s="630"/>
      <c r="D494" s="628"/>
      <c r="E494" s="630"/>
      <c r="F494" s="629"/>
      <c r="G494" s="635"/>
      <c r="H494" s="624"/>
      <c r="I494" s="630"/>
      <c r="K494" s="633"/>
      <c r="M494" s="634"/>
      <c r="O494" s="769"/>
      <c r="Q494" s="627"/>
      <c r="R494" s="634"/>
      <c r="T494" s="624"/>
      <c r="W494" s="623"/>
      <c r="X494" s="623"/>
      <c r="Y494" s="633"/>
      <c r="Z494" s="624"/>
      <c r="AB494" s="630"/>
      <c r="AC494" s="630"/>
      <c r="AD494" s="630"/>
      <c r="AE494" s="630"/>
      <c r="AF494" s="630"/>
      <c r="AG494" s="630"/>
    </row>
    <row r="495" spans="1:33">
      <c r="A495" s="628"/>
      <c r="B495" s="628"/>
      <c r="C495" s="630"/>
      <c r="D495" s="628"/>
      <c r="E495" s="630"/>
      <c r="F495" s="629"/>
      <c r="G495" s="635"/>
      <c r="H495" s="624"/>
      <c r="I495" s="630"/>
      <c r="K495" s="633"/>
      <c r="M495" s="634"/>
      <c r="O495" s="769"/>
      <c r="Q495" s="627"/>
      <c r="R495" s="634"/>
      <c r="T495" s="624"/>
      <c r="W495" s="623"/>
      <c r="X495" s="623"/>
      <c r="Y495" s="633"/>
      <c r="Z495" s="624"/>
      <c r="AB495" s="630"/>
      <c r="AC495" s="630"/>
      <c r="AD495" s="630"/>
      <c r="AE495" s="630"/>
      <c r="AF495" s="630"/>
      <c r="AG495" s="630"/>
    </row>
    <row r="496" spans="1:33">
      <c r="A496" s="628"/>
      <c r="B496" s="628"/>
      <c r="C496" s="630"/>
      <c r="D496" s="628"/>
      <c r="E496" s="630"/>
      <c r="F496" s="629"/>
      <c r="G496" s="635"/>
      <c r="H496" s="624"/>
      <c r="I496" s="630"/>
      <c r="K496" s="633"/>
      <c r="M496" s="634"/>
      <c r="O496" s="769"/>
      <c r="Q496" s="627"/>
      <c r="R496" s="634"/>
      <c r="T496" s="624"/>
      <c r="W496" s="623"/>
      <c r="X496" s="623"/>
      <c r="Y496" s="633"/>
      <c r="Z496" s="624"/>
      <c r="AB496" s="630"/>
      <c r="AC496" s="630"/>
      <c r="AD496" s="630"/>
      <c r="AE496" s="630"/>
      <c r="AF496" s="630"/>
      <c r="AG496" s="630"/>
    </row>
    <row r="497" spans="1:33">
      <c r="A497" s="628"/>
      <c r="B497" s="628"/>
      <c r="C497" s="630"/>
      <c r="D497" s="628"/>
      <c r="E497" s="630"/>
      <c r="F497" s="629"/>
      <c r="G497" s="635"/>
      <c r="H497" s="624"/>
      <c r="I497" s="630"/>
      <c r="K497" s="633"/>
      <c r="M497" s="634"/>
      <c r="O497" s="769"/>
      <c r="Q497" s="627"/>
      <c r="R497" s="634"/>
      <c r="T497" s="624"/>
      <c r="W497" s="623"/>
      <c r="X497" s="623"/>
      <c r="Y497" s="633"/>
      <c r="Z497" s="624"/>
      <c r="AB497" s="630"/>
      <c r="AC497" s="630"/>
      <c r="AD497" s="630"/>
      <c r="AE497" s="630"/>
      <c r="AF497" s="630"/>
      <c r="AG497" s="630"/>
    </row>
    <row r="498" spans="1:33">
      <c r="A498" s="628"/>
      <c r="B498" s="628"/>
      <c r="C498" s="630"/>
      <c r="D498" s="628"/>
      <c r="E498" s="630"/>
      <c r="F498" s="629"/>
      <c r="G498" s="635"/>
      <c r="H498" s="624"/>
      <c r="I498" s="630"/>
      <c r="K498" s="633"/>
      <c r="M498" s="634"/>
      <c r="O498" s="769"/>
      <c r="Q498" s="627"/>
      <c r="R498" s="634"/>
      <c r="T498" s="624"/>
      <c r="W498" s="623"/>
      <c r="X498" s="623"/>
      <c r="Y498" s="633"/>
      <c r="Z498" s="624"/>
      <c r="AB498" s="630"/>
      <c r="AC498" s="630"/>
      <c r="AD498" s="630"/>
      <c r="AE498" s="630"/>
      <c r="AF498" s="630"/>
      <c r="AG498" s="630"/>
    </row>
    <row r="499" spans="1:33">
      <c r="A499" s="628"/>
      <c r="B499" s="628"/>
      <c r="C499" s="630"/>
      <c r="D499" s="628"/>
      <c r="E499" s="630"/>
      <c r="F499" s="629"/>
      <c r="G499" s="635"/>
      <c r="H499" s="624"/>
      <c r="I499" s="630"/>
      <c r="K499" s="633"/>
      <c r="M499" s="634"/>
      <c r="O499" s="769"/>
      <c r="Q499" s="627"/>
      <c r="R499" s="634"/>
      <c r="T499" s="624"/>
      <c r="W499" s="623"/>
      <c r="X499" s="623"/>
      <c r="Y499" s="633"/>
      <c r="Z499" s="624"/>
      <c r="AB499" s="630"/>
      <c r="AC499" s="630"/>
      <c r="AD499" s="630"/>
      <c r="AE499" s="630"/>
      <c r="AF499" s="630"/>
      <c r="AG499" s="630"/>
    </row>
    <row r="500" spans="1:33">
      <c r="A500" s="628"/>
      <c r="B500" s="628"/>
      <c r="C500" s="630"/>
      <c r="D500" s="628"/>
      <c r="E500" s="630"/>
      <c r="F500" s="629"/>
      <c r="G500" s="635"/>
      <c r="H500" s="624"/>
      <c r="I500" s="630"/>
      <c r="K500" s="633"/>
      <c r="M500" s="634"/>
      <c r="O500" s="769"/>
      <c r="Q500" s="627"/>
      <c r="R500" s="634"/>
      <c r="T500" s="624"/>
      <c r="W500" s="623"/>
      <c r="X500" s="623"/>
      <c r="Y500" s="633"/>
      <c r="Z500" s="624"/>
      <c r="AB500" s="630"/>
      <c r="AC500" s="630"/>
      <c r="AD500" s="630"/>
      <c r="AE500" s="630"/>
      <c r="AF500" s="630"/>
      <c r="AG500" s="630"/>
    </row>
    <row r="501" spans="1:33">
      <c r="A501" s="628"/>
      <c r="B501" s="628"/>
      <c r="C501" s="630"/>
      <c r="D501" s="628"/>
      <c r="E501" s="630"/>
      <c r="F501" s="629"/>
      <c r="G501" s="635"/>
      <c r="H501" s="624"/>
      <c r="I501" s="630"/>
      <c r="K501" s="633"/>
      <c r="M501" s="634"/>
      <c r="O501" s="769"/>
      <c r="Q501" s="627"/>
      <c r="R501" s="634"/>
      <c r="T501" s="624"/>
      <c r="W501" s="623"/>
      <c r="X501" s="623"/>
      <c r="Y501" s="633"/>
      <c r="Z501" s="624"/>
      <c r="AB501" s="630"/>
      <c r="AC501" s="630"/>
      <c r="AD501" s="630"/>
      <c r="AE501" s="630"/>
      <c r="AF501" s="630"/>
      <c r="AG501" s="630"/>
    </row>
    <row r="502" spans="1:33">
      <c r="A502" s="628"/>
      <c r="B502" s="628"/>
      <c r="C502" s="630"/>
      <c r="D502" s="628"/>
      <c r="E502" s="630"/>
      <c r="F502" s="629"/>
      <c r="G502" s="635"/>
      <c r="H502" s="624"/>
      <c r="I502" s="630"/>
      <c r="K502" s="633"/>
      <c r="M502" s="634"/>
      <c r="O502" s="769"/>
      <c r="Q502" s="627"/>
      <c r="R502" s="634"/>
      <c r="T502" s="624"/>
      <c r="W502" s="623"/>
      <c r="X502" s="623"/>
      <c r="Y502" s="633"/>
      <c r="Z502" s="624"/>
      <c r="AB502" s="630"/>
      <c r="AC502" s="630"/>
      <c r="AD502" s="630"/>
      <c r="AE502" s="630"/>
      <c r="AF502" s="630"/>
      <c r="AG502" s="630"/>
    </row>
    <row r="503" spans="1:33">
      <c r="A503" s="628"/>
      <c r="B503" s="628"/>
      <c r="C503" s="630"/>
      <c r="D503" s="628"/>
      <c r="E503" s="630"/>
      <c r="F503" s="629"/>
      <c r="G503" s="635"/>
      <c r="H503" s="624"/>
      <c r="I503" s="630"/>
      <c r="K503" s="633"/>
      <c r="M503" s="634"/>
      <c r="O503" s="769"/>
      <c r="Q503" s="627"/>
      <c r="R503" s="634"/>
      <c r="T503" s="624"/>
      <c r="W503" s="623"/>
      <c r="X503" s="623"/>
      <c r="Y503" s="633"/>
      <c r="Z503" s="624"/>
      <c r="AB503" s="630"/>
      <c r="AC503" s="630"/>
      <c r="AD503" s="630"/>
      <c r="AE503" s="630"/>
      <c r="AF503" s="630"/>
      <c r="AG503" s="630"/>
    </row>
    <row r="504" spans="1:33">
      <c r="A504" s="628"/>
      <c r="B504" s="628"/>
      <c r="C504" s="630"/>
      <c r="D504" s="628"/>
      <c r="E504" s="630"/>
      <c r="F504" s="629"/>
      <c r="G504" s="635"/>
      <c r="H504" s="624"/>
      <c r="I504" s="630"/>
      <c r="K504" s="633"/>
      <c r="M504" s="634"/>
      <c r="O504" s="769"/>
      <c r="Q504" s="627"/>
      <c r="R504" s="634"/>
      <c r="T504" s="624"/>
      <c r="W504" s="623"/>
      <c r="X504" s="623"/>
      <c r="Y504" s="633"/>
      <c r="Z504" s="624"/>
      <c r="AB504" s="630"/>
      <c r="AC504" s="630"/>
      <c r="AD504" s="630"/>
      <c r="AE504" s="630"/>
      <c r="AF504" s="630"/>
      <c r="AG504" s="630"/>
    </row>
    <row r="505" spans="1:33">
      <c r="A505" s="628"/>
      <c r="B505" s="628"/>
      <c r="C505" s="630"/>
      <c r="D505" s="628"/>
      <c r="E505" s="630"/>
      <c r="F505" s="629"/>
      <c r="G505" s="635"/>
      <c r="H505" s="624"/>
      <c r="I505" s="630"/>
      <c r="K505" s="633"/>
      <c r="M505" s="634"/>
      <c r="O505" s="769"/>
      <c r="Q505" s="627"/>
      <c r="R505" s="634"/>
      <c r="T505" s="624"/>
      <c r="W505" s="623"/>
      <c r="X505" s="623"/>
      <c r="Y505" s="633"/>
      <c r="Z505" s="624"/>
      <c r="AB505" s="630"/>
      <c r="AC505" s="630"/>
      <c r="AD505" s="630"/>
      <c r="AE505" s="630"/>
      <c r="AF505" s="630"/>
      <c r="AG505" s="630"/>
    </row>
    <row r="506" spans="1:33">
      <c r="A506" s="628"/>
      <c r="B506" s="628"/>
      <c r="C506" s="630"/>
      <c r="D506" s="628"/>
      <c r="E506" s="630"/>
      <c r="F506" s="629"/>
      <c r="G506" s="635"/>
      <c r="H506" s="624"/>
      <c r="I506" s="630"/>
      <c r="K506" s="633"/>
      <c r="M506" s="634"/>
      <c r="O506" s="769"/>
      <c r="Q506" s="627"/>
      <c r="R506" s="634"/>
      <c r="T506" s="624"/>
      <c r="W506" s="623"/>
      <c r="X506" s="623"/>
      <c r="Y506" s="633"/>
      <c r="Z506" s="624"/>
      <c r="AB506" s="630"/>
      <c r="AC506" s="630"/>
      <c r="AD506" s="630"/>
      <c r="AE506" s="630"/>
      <c r="AF506" s="630"/>
      <c r="AG506" s="630"/>
    </row>
    <row r="507" spans="1:33">
      <c r="A507" s="628"/>
      <c r="B507" s="628"/>
      <c r="C507" s="630"/>
      <c r="D507" s="628"/>
      <c r="E507" s="630"/>
      <c r="F507" s="629"/>
      <c r="G507" s="635"/>
      <c r="H507" s="624"/>
      <c r="I507" s="630"/>
      <c r="K507" s="633"/>
      <c r="M507" s="634"/>
      <c r="O507" s="769"/>
      <c r="Q507" s="627"/>
      <c r="R507" s="634"/>
      <c r="T507" s="624"/>
      <c r="W507" s="623"/>
      <c r="X507" s="623"/>
      <c r="Y507" s="633"/>
      <c r="Z507" s="624"/>
      <c r="AB507" s="630"/>
      <c r="AC507" s="630"/>
      <c r="AD507" s="630"/>
      <c r="AE507" s="630"/>
      <c r="AF507" s="630"/>
      <c r="AG507" s="630"/>
    </row>
    <row r="508" spans="1:33">
      <c r="A508" s="628"/>
      <c r="B508" s="628"/>
      <c r="C508" s="630"/>
      <c r="D508" s="628"/>
      <c r="E508" s="630"/>
      <c r="F508" s="629"/>
      <c r="G508" s="635"/>
      <c r="H508" s="624"/>
      <c r="I508" s="630"/>
      <c r="K508" s="633"/>
      <c r="M508" s="634"/>
      <c r="O508" s="769"/>
      <c r="Q508" s="627"/>
      <c r="R508" s="634"/>
      <c r="T508" s="624"/>
      <c r="W508" s="623"/>
      <c r="X508" s="623"/>
      <c r="Y508" s="633"/>
      <c r="Z508" s="624"/>
      <c r="AB508" s="630"/>
      <c r="AC508" s="630"/>
      <c r="AD508" s="630"/>
      <c r="AE508" s="630"/>
      <c r="AF508" s="630"/>
      <c r="AG508" s="630"/>
    </row>
    <row r="509" spans="1:33">
      <c r="A509" s="628"/>
      <c r="B509" s="628"/>
      <c r="C509" s="630"/>
      <c r="D509" s="628"/>
      <c r="E509" s="630"/>
      <c r="F509" s="629"/>
      <c r="G509" s="635"/>
      <c r="H509" s="624"/>
      <c r="I509" s="630"/>
      <c r="K509" s="633"/>
      <c r="M509" s="634"/>
      <c r="O509" s="769"/>
      <c r="Q509" s="627"/>
      <c r="R509" s="634"/>
      <c r="T509" s="624"/>
      <c r="W509" s="623"/>
      <c r="X509" s="623"/>
      <c r="Y509" s="633"/>
      <c r="Z509" s="624"/>
      <c r="AB509" s="630"/>
      <c r="AC509" s="630"/>
      <c r="AD509" s="630"/>
      <c r="AE509" s="630"/>
      <c r="AF509" s="630"/>
      <c r="AG509" s="630"/>
    </row>
    <row r="510" spans="1:33">
      <c r="A510" s="628"/>
      <c r="B510" s="628"/>
      <c r="C510" s="630"/>
      <c r="D510" s="628"/>
      <c r="E510" s="630"/>
      <c r="F510" s="629"/>
      <c r="G510" s="635"/>
      <c r="H510" s="624"/>
      <c r="I510" s="630"/>
      <c r="K510" s="633"/>
      <c r="M510" s="634"/>
      <c r="O510" s="769"/>
      <c r="Q510" s="627"/>
      <c r="R510" s="634"/>
      <c r="T510" s="624"/>
      <c r="W510" s="623"/>
      <c r="X510" s="623"/>
      <c r="Y510" s="633"/>
      <c r="Z510" s="624"/>
      <c r="AB510" s="630"/>
      <c r="AC510" s="630"/>
      <c r="AD510" s="630"/>
      <c r="AE510" s="630"/>
      <c r="AF510" s="630"/>
      <c r="AG510" s="630"/>
    </row>
    <row r="511" spans="1:33">
      <c r="A511" s="628"/>
      <c r="B511" s="628"/>
      <c r="C511" s="630"/>
      <c r="D511" s="628"/>
      <c r="E511" s="630"/>
      <c r="F511" s="629"/>
      <c r="G511" s="635"/>
      <c r="H511" s="624"/>
      <c r="I511" s="630"/>
      <c r="K511" s="633"/>
      <c r="M511" s="634"/>
      <c r="O511" s="769"/>
      <c r="Q511" s="627"/>
      <c r="R511" s="634"/>
      <c r="T511" s="624"/>
      <c r="W511" s="623"/>
      <c r="X511" s="623"/>
      <c r="Y511" s="633"/>
      <c r="Z511" s="624"/>
      <c r="AB511" s="630"/>
      <c r="AC511" s="630"/>
      <c r="AD511" s="630"/>
      <c r="AE511" s="630"/>
      <c r="AF511" s="630"/>
      <c r="AG511" s="630"/>
    </row>
    <row r="512" spans="1:33">
      <c r="A512" s="628"/>
      <c r="B512" s="628"/>
      <c r="C512" s="630"/>
      <c r="D512" s="628"/>
      <c r="E512" s="630"/>
      <c r="F512" s="629"/>
      <c r="G512" s="635"/>
      <c r="H512" s="624"/>
      <c r="I512" s="630"/>
      <c r="K512" s="633"/>
      <c r="M512" s="634"/>
      <c r="O512" s="769"/>
      <c r="Q512" s="627"/>
      <c r="R512" s="634"/>
      <c r="T512" s="624"/>
      <c r="W512" s="623"/>
      <c r="X512" s="623"/>
      <c r="Y512" s="633"/>
      <c r="Z512" s="624"/>
      <c r="AB512" s="630"/>
      <c r="AC512" s="630"/>
      <c r="AD512" s="630"/>
      <c r="AE512" s="630"/>
      <c r="AF512" s="630"/>
      <c r="AG512" s="630"/>
    </row>
    <row r="513" spans="1:33">
      <c r="A513" s="628"/>
      <c r="B513" s="628"/>
      <c r="C513" s="630"/>
      <c r="D513" s="628"/>
      <c r="E513" s="630"/>
      <c r="F513" s="629"/>
      <c r="G513" s="635"/>
      <c r="H513" s="624"/>
      <c r="I513" s="630"/>
      <c r="K513" s="633"/>
      <c r="M513" s="634"/>
      <c r="O513" s="769"/>
      <c r="Q513" s="627"/>
      <c r="R513" s="634"/>
      <c r="T513" s="624"/>
      <c r="W513" s="623"/>
      <c r="X513" s="623"/>
      <c r="Y513" s="633"/>
      <c r="Z513" s="624"/>
      <c r="AB513" s="630"/>
      <c r="AC513" s="630"/>
      <c r="AD513" s="630"/>
      <c r="AE513" s="630"/>
      <c r="AF513" s="630"/>
      <c r="AG513" s="630"/>
    </row>
    <row r="514" spans="1:33">
      <c r="A514" s="628"/>
      <c r="B514" s="628"/>
      <c r="C514" s="630"/>
      <c r="D514" s="628"/>
      <c r="E514" s="630"/>
      <c r="F514" s="629"/>
      <c r="G514" s="635"/>
      <c r="H514" s="624"/>
      <c r="I514" s="630"/>
      <c r="K514" s="633"/>
      <c r="M514" s="634"/>
      <c r="O514" s="769"/>
      <c r="Q514" s="627"/>
      <c r="R514" s="634"/>
      <c r="T514" s="624"/>
      <c r="W514" s="623"/>
      <c r="X514" s="623"/>
      <c r="Y514" s="633"/>
      <c r="Z514" s="624"/>
      <c r="AB514" s="630"/>
      <c r="AC514" s="630"/>
      <c r="AD514" s="630"/>
      <c r="AE514" s="630"/>
      <c r="AF514" s="630"/>
      <c r="AG514" s="630"/>
    </row>
    <row r="515" spans="1:33">
      <c r="A515" s="628"/>
      <c r="B515" s="628"/>
      <c r="C515" s="630"/>
      <c r="D515" s="628"/>
      <c r="E515" s="630"/>
      <c r="F515" s="629"/>
      <c r="G515" s="635"/>
      <c r="H515" s="624"/>
      <c r="I515" s="630"/>
      <c r="K515" s="633"/>
      <c r="M515" s="634"/>
      <c r="O515" s="769"/>
      <c r="Q515" s="627"/>
      <c r="R515" s="634"/>
      <c r="T515" s="624"/>
      <c r="W515" s="623"/>
      <c r="X515" s="623"/>
      <c r="Y515" s="633"/>
      <c r="Z515" s="624"/>
      <c r="AB515" s="630"/>
      <c r="AC515" s="630"/>
      <c r="AD515" s="630"/>
      <c r="AE515" s="630"/>
      <c r="AF515" s="630"/>
      <c r="AG515" s="630"/>
    </row>
    <row r="516" spans="1:33">
      <c r="A516" s="628"/>
      <c r="B516" s="628"/>
      <c r="C516" s="630"/>
      <c r="D516" s="628"/>
      <c r="E516" s="630"/>
      <c r="F516" s="629"/>
      <c r="G516" s="635"/>
      <c r="H516" s="624"/>
      <c r="I516" s="630"/>
      <c r="K516" s="633"/>
      <c r="M516" s="634"/>
      <c r="O516" s="769"/>
      <c r="Q516" s="627"/>
      <c r="R516" s="634"/>
      <c r="T516" s="624"/>
      <c r="W516" s="623"/>
      <c r="X516" s="623"/>
      <c r="Y516" s="633"/>
      <c r="Z516" s="624"/>
      <c r="AB516" s="630"/>
      <c r="AC516" s="630"/>
      <c r="AD516" s="630"/>
      <c r="AE516" s="630"/>
      <c r="AF516" s="630"/>
      <c r="AG516" s="630"/>
    </row>
    <row r="517" spans="1:33">
      <c r="A517" s="628"/>
      <c r="B517" s="628"/>
      <c r="C517" s="630"/>
      <c r="D517" s="628"/>
      <c r="E517" s="630"/>
      <c r="F517" s="629"/>
      <c r="G517" s="635"/>
      <c r="H517" s="624"/>
      <c r="I517" s="630"/>
      <c r="K517" s="633"/>
      <c r="M517" s="634"/>
      <c r="O517" s="769"/>
      <c r="Q517" s="627"/>
      <c r="R517" s="634"/>
      <c r="T517" s="624"/>
      <c r="W517" s="623"/>
      <c r="X517" s="623"/>
      <c r="Y517" s="633"/>
      <c r="Z517" s="624"/>
      <c r="AB517" s="630"/>
      <c r="AC517" s="630"/>
      <c r="AD517" s="630"/>
      <c r="AE517" s="630"/>
      <c r="AF517" s="630"/>
      <c r="AG517" s="630"/>
    </row>
    <row r="518" spans="1:33">
      <c r="A518" s="628"/>
      <c r="B518" s="628"/>
      <c r="C518" s="630"/>
      <c r="D518" s="628"/>
      <c r="E518" s="630"/>
      <c r="F518" s="629"/>
      <c r="G518" s="635"/>
      <c r="H518" s="624"/>
      <c r="I518" s="630"/>
      <c r="K518" s="633"/>
      <c r="M518" s="634"/>
      <c r="O518" s="769"/>
      <c r="Q518" s="627"/>
      <c r="R518" s="634"/>
      <c r="T518" s="624"/>
      <c r="W518" s="623"/>
      <c r="X518" s="623"/>
      <c r="Y518" s="633"/>
      <c r="Z518" s="624"/>
      <c r="AB518" s="630"/>
      <c r="AC518" s="630"/>
      <c r="AD518" s="630"/>
      <c r="AE518" s="630"/>
      <c r="AF518" s="630"/>
      <c r="AG518" s="630"/>
    </row>
    <row r="519" spans="1:33">
      <c r="A519" s="628"/>
      <c r="B519" s="628"/>
      <c r="C519" s="630"/>
      <c r="D519" s="628"/>
      <c r="E519" s="630"/>
      <c r="F519" s="629"/>
      <c r="G519" s="635"/>
      <c r="H519" s="624"/>
      <c r="I519" s="630"/>
      <c r="K519" s="633"/>
      <c r="M519" s="634"/>
      <c r="O519" s="769"/>
      <c r="Q519" s="627"/>
      <c r="R519" s="634"/>
      <c r="T519" s="624"/>
      <c r="W519" s="623"/>
      <c r="X519" s="623"/>
      <c r="Y519" s="633"/>
      <c r="Z519" s="624"/>
      <c r="AB519" s="630"/>
      <c r="AC519" s="630"/>
      <c r="AD519" s="630"/>
      <c r="AE519" s="630"/>
      <c r="AF519" s="630"/>
      <c r="AG519" s="630"/>
    </row>
    <row r="520" spans="1:33">
      <c r="A520" s="628"/>
      <c r="B520" s="628"/>
      <c r="C520" s="630"/>
      <c r="D520" s="628"/>
      <c r="E520" s="630"/>
      <c r="F520" s="629"/>
      <c r="G520" s="635"/>
      <c r="H520" s="624"/>
      <c r="I520" s="630"/>
      <c r="K520" s="633"/>
      <c r="M520" s="634"/>
      <c r="O520" s="769"/>
      <c r="Q520" s="627"/>
      <c r="R520" s="634"/>
      <c r="T520" s="624"/>
      <c r="W520" s="623"/>
      <c r="X520" s="623"/>
      <c r="Y520" s="633"/>
      <c r="Z520" s="624"/>
      <c r="AB520" s="630"/>
      <c r="AC520" s="630"/>
      <c r="AD520" s="630"/>
      <c r="AE520" s="630"/>
      <c r="AF520" s="630"/>
      <c r="AG520" s="630"/>
    </row>
    <row r="521" spans="1:33">
      <c r="A521" s="628"/>
      <c r="B521" s="628"/>
      <c r="C521" s="630"/>
      <c r="D521" s="628"/>
      <c r="E521" s="630"/>
      <c r="F521" s="629"/>
      <c r="G521" s="635"/>
      <c r="H521" s="624"/>
      <c r="I521" s="630"/>
      <c r="K521" s="633"/>
      <c r="M521" s="634"/>
      <c r="O521" s="769"/>
      <c r="Q521" s="627"/>
      <c r="R521" s="634"/>
      <c r="T521" s="624"/>
      <c r="W521" s="623"/>
      <c r="X521" s="623"/>
      <c r="Y521" s="633"/>
      <c r="Z521" s="624"/>
      <c r="AB521" s="630"/>
      <c r="AC521" s="630"/>
      <c r="AD521" s="630"/>
      <c r="AE521" s="630"/>
      <c r="AF521" s="630"/>
      <c r="AG521" s="630"/>
    </row>
    <row r="522" spans="1:33">
      <c r="A522" s="628"/>
      <c r="B522" s="628"/>
      <c r="C522" s="630"/>
      <c r="D522" s="628"/>
      <c r="E522" s="630"/>
      <c r="F522" s="629"/>
      <c r="G522" s="635"/>
      <c r="H522" s="624"/>
      <c r="I522" s="630"/>
      <c r="K522" s="633"/>
      <c r="M522" s="634"/>
      <c r="O522" s="769"/>
      <c r="Q522" s="627"/>
      <c r="R522" s="634"/>
      <c r="T522" s="624"/>
      <c r="W522" s="623"/>
      <c r="X522" s="623"/>
      <c r="Y522" s="633"/>
      <c r="Z522" s="624"/>
      <c r="AB522" s="630"/>
      <c r="AC522" s="630"/>
      <c r="AD522" s="630"/>
      <c r="AE522" s="630"/>
      <c r="AF522" s="630"/>
      <c r="AG522" s="630"/>
    </row>
    <row r="523" spans="1:33">
      <c r="A523" s="628"/>
      <c r="B523" s="628"/>
      <c r="C523" s="630"/>
      <c r="D523" s="628"/>
      <c r="E523" s="630"/>
      <c r="F523" s="629"/>
      <c r="G523" s="635"/>
      <c r="H523" s="624"/>
      <c r="I523" s="630"/>
      <c r="K523" s="633"/>
      <c r="M523" s="634"/>
      <c r="O523" s="769"/>
      <c r="Q523" s="627"/>
      <c r="R523" s="634"/>
      <c r="T523" s="624"/>
      <c r="W523" s="623"/>
      <c r="X523" s="623"/>
      <c r="Y523" s="633"/>
      <c r="Z523" s="624"/>
      <c r="AB523" s="630"/>
      <c r="AC523" s="630"/>
      <c r="AD523" s="630"/>
      <c r="AE523" s="630"/>
      <c r="AF523" s="630"/>
      <c r="AG523" s="630"/>
    </row>
    <row r="524" spans="1:33">
      <c r="A524" s="628"/>
      <c r="B524" s="628"/>
      <c r="C524" s="630"/>
      <c r="D524" s="628"/>
      <c r="E524" s="630"/>
      <c r="F524" s="629"/>
      <c r="G524" s="635"/>
      <c r="H524" s="624"/>
      <c r="I524" s="630"/>
      <c r="K524" s="633"/>
      <c r="M524" s="634"/>
      <c r="O524" s="769"/>
      <c r="Q524" s="627"/>
      <c r="R524" s="634"/>
      <c r="T524" s="624"/>
      <c r="W524" s="623"/>
      <c r="X524" s="623"/>
      <c r="Y524" s="633"/>
      <c r="Z524" s="624"/>
      <c r="AB524" s="630"/>
      <c r="AC524" s="630"/>
      <c r="AD524" s="630"/>
      <c r="AE524" s="630"/>
      <c r="AF524" s="630"/>
      <c r="AG524" s="630"/>
    </row>
    <row r="525" spans="1:33">
      <c r="A525" s="628"/>
      <c r="B525" s="628"/>
      <c r="C525" s="630"/>
      <c r="D525" s="628"/>
      <c r="E525" s="630"/>
      <c r="F525" s="629"/>
      <c r="G525" s="635"/>
      <c r="H525" s="624"/>
      <c r="I525" s="630"/>
      <c r="K525" s="633"/>
      <c r="M525" s="634"/>
      <c r="O525" s="769"/>
      <c r="Q525" s="627"/>
      <c r="R525" s="634"/>
      <c r="T525" s="624"/>
      <c r="W525" s="623"/>
      <c r="X525" s="623"/>
      <c r="Y525" s="633"/>
      <c r="Z525" s="624"/>
      <c r="AB525" s="630"/>
      <c r="AC525" s="630"/>
      <c r="AD525" s="630"/>
      <c r="AE525" s="630"/>
      <c r="AF525" s="630"/>
      <c r="AG525" s="630"/>
    </row>
    <row r="526" spans="1:33">
      <c r="A526" s="628"/>
      <c r="B526" s="628"/>
      <c r="C526" s="630"/>
      <c r="D526" s="628"/>
      <c r="E526" s="630"/>
      <c r="F526" s="629"/>
      <c r="G526" s="635"/>
      <c r="H526" s="624"/>
      <c r="I526" s="630"/>
      <c r="K526" s="633"/>
      <c r="M526" s="634"/>
      <c r="O526" s="769"/>
      <c r="Q526" s="627"/>
      <c r="R526" s="634"/>
      <c r="T526" s="624"/>
      <c r="W526" s="623"/>
      <c r="X526" s="623"/>
      <c r="Y526" s="633"/>
      <c r="Z526" s="624"/>
      <c r="AB526" s="630"/>
      <c r="AC526" s="630"/>
      <c r="AD526" s="630"/>
      <c r="AE526" s="630"/>
      <c r="AF526" s="630"/>
      <c r="AG526" s="630"/>
    </row>
    <row r="527" spans="1:33">
      <c r="A527" s="628"/>
      <c r="B527" s="628"/>
      <c r="C527" s="630"/>
      <c r="D527" s="628"/>
      <c r="E527" s="630"/>
      <c r="F527" s="629"/>
      <c r="G527" s="635"/>
      <c r="H527" s="624"/>
      <c r="I527" s="630"/>
      <c r="K527" s="633"/>
      <c r="M527" s="634"/>
      <c r="O527" s="769"/>
      <c r="Q527" s="627"/>
      <c r="R527" s="634"/>
      <c r="T527" s="624"/>
      <c r="W527" s="623"/>
      <c r="X527" s="623"/>
      <c r="Y527" s="633"/>
      <c r="Z527" s="624"/>
      <c r="AB527" s="630"/>
      <c r="AC527" s="630"/>
      <c r="AD527" s="630"/>
      <c r="AE527" s="630"/>
      <c r="AF527" s="630"/>
      <c r="AG527" s="630"/>
    </row>
    <row r="528" spans="1:33">
      <c r="A528" s="628"/>
      <c r="B528" s="628"/>
      <c r="C528" s="630"/>
      <c r="D528" s="628"/>
      <c r="E528" s="630"/>
      <c r="F528" s="629"/>
      <c r="G528" s="635"/>
      <c r="H528" s="624"/>
      <c r="I528" s="630"/>
      <c r="K528" s="633"/>
      <c r="M528" s="634"/>
      <c r="O528" s="769"/>
      <c r="Q528" s="627"/>
      <c r="R528" s="634"/>
      <c r="T528" s="624"/>
      <c r="W528" s="623"/>
      <c r="X528" s="623"/>
      <c r="Y528" s="633"/>
      <c r="Z528" s="624"/>
      <c r="AB528" s="630"/>
      <c r="AC528" s="630"/>
      <c r="AD528" s="630"/>
      <c r="AE528" s="630"/>
      <c r="AF528" s="630"/>
      <c r="AG528" s="630"/>
    </row>
    <row r="529" spans="1:33">
      <c r="A529" s="628"/>
      <c r="B529" s="628"/>
      <c r="C529" s="630"/>
      <c r="D529" s="628"/>
      <c r="E529" s="630"/>
      <c r="F529" s="629"/>
      <c r="G529" s="635"/>
      <c r="H529" s="624"/>
      <c r="I529" s="630"/>
      <c r="K529" s="633"/>
      <c r="M529" s="634"/>
      <c r="O529" s="769"/>
      <c r="Q529" s="627"/>
      <c r="R529" s="634"/>
      <c r="T529" s="624"/>
      <c r="W529" s="623"/>
      <c r="X529" s="623"/>
      <c r="Y529" s="633"/>
      <c r="Z529" s="624"/>
      <c r="AB529" s="630"/>
      <c r="AC529" s="630"/>
      <c r="AD529" s="630"/>
      <c r="AE529" s="630"/>
      <c r="AF529" s="630"/>
      <c r="AG529" s="630"/>
    </row>
    <row r="530" spans="1:33">
      <c r="A530" s="628"/>
      <c r="B530" s="628"/>
      <c r="C530" s="630"/>
      <c r="D530" s="628"/>
      <c r="E530" s="630"/>
      <c r="F530" s="629"/>
      <c r="G530" s="635"/>
      <c r="H530" s="624"/>
      <c r="I530" s="630"/>
      <c r="K530" s="633"/>
      <c r="M530" s="634"/>
      <c r="O530" s="769"/>
      <c r="Q530" s="627"/>
      <c r="R530" s="634"/>
      <c r="T530" s="624"/>
      <c r="W530" s="623"/>
      <c r="X530" s="623"/>
      <c r="Y530" s="633"/>
      <c r="Z530" s="624"/>
      <c r="AB530" s="630"/>
      <c r="AC530" s="630"/>
      <c r="AD530" s="630"/>
      <c r="AE530" s="630"/>
      <c r="AF530" s="630"/>
      <c r="AG530" s="630"/>
    </row>
    <row r="531" spans="1:33">
      <c r="A531" s="628"/>
      <c r="B531" s="628"/>
      <c r="C531" s="630"/>
      <c r="D531" s="628"/>
      <c r="E531" s="630"/>
      <c r="F531" s="629"/>
      <c r="G531" s="635"/>
      <c r="H531" s="624"/>
      <c r="I531" s="630"/>
      <c r="K531" s="633"/>
      <c r="M531" s="634"/>
      <c r="O531" s="769"/>
      <c r="Q531" s="627"/>
      <c r="R531" s="634"/>
      <c r="T531" s="624"/>
      <c r="W531" s="623"/>
      <c r="X531" s="623"/>
      <c r="Y531" s="633"/>
      <c r="Z531" s="624"/>
      <c r="AB531" s="630"/>
      <c r="AC531" s="630"/>
      <c r="AD531" s="630"/>
      <c r="AE531" s="630"/>
      <c r="AF531" s="630"/>
      <c r="AG531" s="630"/>
    </row>
    <row r="532" spans="1:33">
      <c r="A532" s="628"/>
      <c r="B532" s="628"/>
      <c r="C532" s="630"/>
      <c r="D532" s="628"/>
      <c r="E532" s="630"/>
      <c r="F532" s="629"/>
      <c r="G532" s="635"/>
      <c r="H532" s="624"/>
      <c r="I532" s="630"/>
      <c r="K532" s="633"/>
      <c r="M532" s="634"/>
      <c r="O532" s="769"/>
      <c r="Q532" s="627"/>
      <c r="R532" s="634"/>
      <c r="T532" s="624"/>
      <c r="W532" s="623"/>
      <c r="X532" s="623"/>
      <c r="Y532" s="633"/>
      <c r="Z532" s="624"/>
      <c r="AB532" s="630"/>
      <c r="AC532" s="630"/>
      <c r="AD532" s="630"/>
      <c r="AE532" s="630"/>
      <c r="AF532" s="630"/>
      <c r="AG532" s="630"/>
    </row>
    <row r="533" spans="1:33">
      <c r="A533" s="628"/>
      <c r="B533" s="628"/>
      <c r="C533" s="630"/>
      <c r="D533" s="628"/>
      <c r="E533" s="630"/>
      <c r="F533" s="629"/>
      <c r="G533" s="635"/>
      <c r="H533" s="624"/>
      <c r="I533" s="630"/>
      <c r="K533" s="633"/>
      <c r="M533" s="634"/>
      <c r="O533" s="769"/>
      <c r="Q533" s="627"/>
      <c r="R533" s="634"/>
      <c r="T533" s="624"/>
      <c r="W533" s="623"/>
      <c r="X533" s="623"/>
      <c r="Y533" s="633"/>
      <c r="Z533" s="624"/>
      <c r="AB533" s="630"/>
      <c r="AC533" s="630"/>
      <c r="AD533" s="630"/>
      <c r="AE533" s="630"/>
      <c r="AF533" s="630"/>
      <c r="AG533" s="630"/>
    </row>
    <row r="534" spans="1:33">
      <c r="A534" s="628"/>
      <c r="B534" s="628"/>
      <c r="C534" s="630"/>
      <c r="D534" s="628"/>
      <c r="E534" s="630"/>
      <c r="F534" s="629"/>
      <c r="G534" s="635"/>
      <c r="H534" s="624"/>
      <c r="I534" s="630"/>
      <c r="K534" s="633"/>
      <c r="M534" s="634"/>
      <c r="O534" s="769"/>
      <c r="Q534" s="627"/>
      <c r="R534" s="634"/>
      <c r="T534" s="624"/>
      <c r="W534" s="623"/>
      <c r="X534" s="623"/>
      <c r="Y534" s="633"/>
      <c r="Z534" s="624"/>
      <c r="AB534" s="630"/>
      <c r="AC534" s="630"/>
      <c r="AD534" s="630"/>
      <c r="AE534" s="630"/>
      <c r="AF534" s="630"/>
      <c r="AG534" s="630"/>
    </row>
    <row r="535" spans="1:33">
      <c r="A535" s="628"/>
      <c r="B535" s="628"/>
      <c r="C535" s="630"/>
      <c r="D535" s="628"/>
      <c r="E535" s="630"/>
      <c r="F535" s="629"/>
      <c r="G535" s="635"/>
      <c r="H535" s="624"/>
      <c r="I535" s="630"/>
      <c r="K535" s="633"/>
      <c r="M535" s="634"/>
      <c r="O535" s="769"/>
      <c r="Q535" s="627"/>
      <c r="R535" s="634"/>
      <c r="T535" s="624"/>
      <c r="W535" s="623"/>
      <c r="X535" s="623"/>
      <c r="Y535" s="633"/>
      <c r="Z535" s="624"/>
      <c r="AB535" s="630"/>
      <c r="AC535" s="630"/>
      <c r="AD535" s="630"/>
      <c r="AE535" s="630"/>
      <c r="AF535" s="630"/>
      <c r="AG535" s="630"/>
    </row>
    <row r="536" spans="1:33">
      <c r="A536" s="628"/>
      <c r="B536" s="628"/>
      <c r="C536" s="630"/>
      <c r="D536" s="628"/>
      <c r="E536" s="630"/>
      <c r="F536" s="629"/>
      <c r="G536" s="635"/>
      <c r="H536" s="624"/>
      <c r="I536" s="630"/>
      <c r="K536" s="633"/>
      <c r="M536" s="634"/>
      <c r="O536" s="769"/>
      <c r="Q536" s="627"/>
      <c r="R536" s="634"/>
      <c r="T536" s="624"/>
      <c r="W536" s="623"/>
      <c r="X536" s="623"/>
      <c r="Y536" s="633"/>
      <c r="Z536" s="624"/>
      <c r="AB536" s="630"/>
      <c r="AC536" s="630"/>
      <c r="AD536" s="630"/>
      <c r="AE536" s="630"/>
      <c r="AF536" s="630"/>
      <c r="AG536" s="630"/>
    </row>
    <row r="537" spans="1:33">
      <c r="A537" s="628"/>
      <c r="B537" s="628"/>
      <c r="C537" s="630"/>
      <c r="D537" s="628"/>
      <c r="E537" s="630"/>
      <c r="F537" s="629"/>
      <c r="G537" s="635"/>
      <c r="H537" s="624"/>
      <c r="I537" s="630"/>
      <c r="K537" s="633"/>
      <c r="M537" s="634"/>
      <c r="O537" s="769"/>
      <c r="Q537" s="627"/>
      <c r="R537" s="634"/>
      <c r="T537" s="624"/>
      <c r="W537" s="623"/>
      <c r="X537" s="623"/>
      <c r="Y537" s="633"/>
      <c r="Z537" s="624"/>
      <c r="AB537" s="630"/>
      <c r="AC537" s="630"/>
      <c r="AD537" s="630"/>
      <c r="AE537" s="630"/>
      <c r="AF537" s="630"/>
      <c r="AG537" s="630"/>
    </row>
    <row r="538" spans="1:33">
      <c r="A538" s="628"/>
      <c r="B538" s="628"/>
      <c r="C538" s="630"/>
      <c r="D538" s="628"/>
      <c r="E538" s="630"/>
      <c r="F538" s="629"/>
      <c r="G538" s="635"/>
      <c r="H538" s="624"/>
      <c r="I538" s="630"/>
      <c r="K538" s="633"/>
      <c r="M538" s="634"/>
      <c r="O538" s="769"/>
      <c r="Q538" s="627"/>
      <c r="R538" s="634"/>
      <c r="T538" s="624"/>
      <c r="W538" s="623"/>
      <c r="X538" s="623"/>
      <c r="Y538" s="633"/>
      <c r="Z538" s="624"/>
      <c r="AB538" s="630"/>
      <c r="AC538" s="630"/>
      <c r="AD538" s="630"/>
      <c r="AE538" s="630"/>
      <c r="AF538" s="630"/>
      <c r="AG538" s="630"/>
    </row>
    <row r="539" spans="1:33">
      <c r="A539" s="628"/>
      <c r="B539" s="628"/>
      <c r="C539" s="630"/>
      <c r="D539" s="628"/>
      <c r="E539" s="630"/>
      <c r="F539" s="629"/>
      <c r="G539" s="635"/>
      <c r="H539" s="624"/>
      <c r="I539" s="630"/>
      <c r="K539" s="633"/>
      <c r="M539" s="634"/>
      <c r="O539" s="769"/>
      <c r="Q539" s="627"/>
      <c r="R539" s="634"/>
      <c r="T539" s="624"/>
      <c r="W539" s="623"/>
      <c r="X539" s="623"/>
      <c r="Y539" s="633"/>
      <c r="Z539" s="624"/>
      <c r="AB539" s="630"/>
      <c r="AC539" s="630"/>
      <c r="AD539" s="630"/>
      <c r="AE539" s="630"/>
      <c r="AF539" s="630"/>
      <c r="AG539" s="630"/>
    </row>
    <row r="540" spans="1:33">
      <c r="A540" s="628"/>
      <c r="B540" s="628"/>
      <c r="C540" s="630"/>
      <c r="D540" s="628"/>
      <c r="E540" s="630"/>
      <c r="F540" s="629"/>
      <c r="G540" s="635"/>
      <c r="H540" s="624"/>
      <c r="I540" s="630"/>
      <c r="K540" s="633"/>
      <c r="M540" s="634"/>
      <c r="O540" s="769"/>
      <c r="Q540" s="627"/>
      <c r="R540" s="634"/>
      <c r="T540" s="624"/>
      <c r="W540" s="623"/>
      <c r="X540" s="623"/>
      <c r="Y540" s="633"/>
      <c r="Z540" s="624"/>
      <c r="AB540" s="630"/>
      <c r="AC540" s="630"/>
      <c r="AD540" s="630"/>
      <c r="AE540" s="630"/>
      <c r="AF540" s="630"/>
      <c r="AG540" s="630"/>
    </row>
    <row r="541" spans="1:33">
      <c r="A541" s="628"/>
      <c r="B541" s="628"/>
      <c r="C541" s="630"/>
      <c r="D541" s="628"/>
      <c r="E541" s="630"/>
      <c r="F541" s="629"/>
      <c r="G541" s="635"/>
      <c r="H541" s="624"/>
      <c r="I541" s="630"/>
      <c r="K541" s="633"/>
      <c r="M541" s="634"/>
      <c r="O541" s="769"/>
      <c r="Q541" s="627"/>
      <c r="R541" s="634"/>
      <c r="T541" s="624"/>
      <c r="W541" s="623"/>
      <c r="X541" s="623"/>
      <c r="Y541" s="633"/>
      <c r="Z541" s="624"/>
      <c r="AB541" s="630"/>
      <c r="AC541" s="630"/>
      <c r="AD541" s="630"/>
      <c r="AE541" s="630"/>
      <c r="AF541" s="630"/>
      <c r="AG541" s="630"/>
    </row>
    <row r="542" spans="1:33">
      <c r="A542" s="628"/>
      <c r="B542" s="628"/>
      <c r="C542" s="630"/>
      <c r="D542" s="628"/>
      <c r="E542" s="630"/>
      <c r="F542" s="629"/>
      <c r="G542" s="635"/>
      <c r="H542" s="624"/>
      <c r="I542" s="630"/>
      <c r="K542" s="633"/>
      <c r="M542" s="634"/>
      <c r="O542" s="769"/>
      <c r="Q542" s="627"/>
      <c r="R542" s="634"/>
      <c r="T542" s="624"/>
      <c r="W542" s="623"/>
      <c r="X542" s="623"/>
      <c r="Y542" s="633"/>
      <c r="Z542" s="624"/>
      <c r="AB542" s="630"/>
      <c r="AC542" s="630"/>
      <c r="AD542" s="630"/>
      <c r="AE542" s="630"/>
      <c r="AF542" s="630"/>
      <c r="AG542" s="630"/>
    </row>
    <row r="543" spans="1:33">
      <c r="A543" s="628"/>
      <c r="B543" s="628"/>
      <c r="C543" s="630"/>
      <c r="D543" s="628"/>
      <c r="E543" s="630"/>
      <c r="F543" s="629"/>
      <c r="G543" s="635"/>
      <c r="H543" s="624"/>
      <c r="I543" s="630"/>
      <c r="K543" s="633"/>
      <c r="M543" s="634"/>
      <c r="O543" s="769"/>
      <c r="Q543" s="627"/>
      <c r="R543" s="634"/>
      <c r="T543" s="624"/>
      <c r="W543" s="623"/>
      <c r="X543" s="623"/>
      <c r="Y543" s="633"/>
      <c r="Z543" s="624"/>
      <c r="AB543" s="630"/>
      <c r="AC543" s="630"/>
      <c r="AD543" s="630"/>
      <c r="AE543" s="630"/>
      <c r="AF543" s="630"/>
      <c r="AG543" s="630"/>
    </row>
    <row r="544" spans="1:33">
      <c r="A544" s="628"/>
      <c r="B544" s="628"/>
      <c r="C544" s="630"/>
      <c r="D544" s="628"/>
      <c r="E544" s="630"/>
      <c r="F544" s="629"/>
      <c r="G544" s="635"/>
      <c r="H544" s="624"/>
      <c r="I544" s="630"/>
      <c r="K544" s="633"/>
      <c r="M544" s="634"/>
      <c r="O544" s="769"/>
      <c r="Q544" s="627"/>
      <c r="R544" s="634"/>
      <c r="T544" s="624"/>
      <c r="W544" s="623"/>
      <c r="X544" s="623"/>
      <c r="Y544" s="633"/>
      <c r="Z544" s="624"/>
      <c r="AB544" s="630"/>
      <c r="AC544" s="630"/>
      <c r="AD544" s="630"/>
      <c r="AE544" s="630"/>
      <c r="AF544" s="630"/>
      <c r="AG544" s="630"/>
    </row>
    <row r="545" spans="1:33">
      <c r="A545" s="628"/>
      <c r="B545" s="628"/>
      <c r="C545" s="630"/>
      <c r="D545" s="628"/>
      <c r="E545" s="630"/>
      <c r="F545" s="629"/>
      <c r="G545" s="635"/>
      <c r="H545" s="624"/>
      <c r="I545" s="630"/>
      <c r="K545" s="633"/>
      <c r="M545" s="634"/>
      <c r="O545" s="769"/>
      <c r="Q545" s="627"/>
      <c r="R545" s="634"/>
      <c r="T545" s="624"/>
      <c r="W545" s="623"/>
      <c r="X545" s="623"/>
      <c r="Y545" s="633"/>
      <c r="Z545" s="624"/>
      <c r="AB545" s="630"/>
      <c r="AC545" s="630"/>
      <c r="AD545" s="630"/>
      <c r="AE545" s="630"/>
      <c r="AF545" s="630"/>
      <c r="AG545" s="630"/>
    </row>
    <row r="546" spans="1:33">
      <c r="A546" s="628"/>
      <c r="B546" s="628"/>
      <c r="C546" s="630"/>
      <c r="D546" s="628"/>
      <c r="E546" s="630"/>
      <c r="F546" s="629"/>
      <c r="G546" s="635"/>
      <c r="H546" s="624"/>
      <c r="I546" s="630"/>
      <c r="K546" s="633"/>
      <c r="M546" s="634"/>
      <c r="O546" s="769"/>
      <c r="Q546" s="627"/>
      <c r="R546" s="634"/>
      <c r="T546" s="624"/>
      <c r="W546" s="623"/>
      <c r="X546" s="623"/>
      <c r="Y546" s="633"/>
      <c r="Z546" s="624"/>
      <c r="AB546" s="630"/>
      <c r="AC546" s="630"/>
      <c r="AD546" s="630"/>
      <c r="AE546" s="630"/>
      <c r="AF546" s="630"/>
      <c r="AG546" s="630"/>
    </row>
    <row r="547" spans="1:33">
      <c r="A547" s="628"/>
      <c r="B547" s="628"/>
      <c r="C547" s="630"/>
      <c r="D547" s="628"/>
      <c r="E547" s="630"/>
      <c r="F547" s="629"/>
      <c r="G547" s="635"/>
      <c r="H547" s="624"/>
      <c r="I547" s="630"/>
      <c r="K547" s="633"/>
      <c r="M547" s="634"/>
      <c r="O547" s="769"/>
      <c r="Q547" s="627"/>
      <c r="R547" s="634"/>
      <c r="T547" s="624"/>
      <c r="W547" s="623"/>
      <c r="X547" s="623"/>
      <c r="Y547" s="633"/>
      <c r="Z547" s="624"/>
      <c r="AB547" s="630"/>
      <c r="AC547" s="630"/>
      <c r="AD547" s="630"/>
      <c r="AE547" s="630"/>
      <c r="AF547" s="630"/>
      <c r="AG547" s="630"/>
    </row>
    <row r="548" spans="1:33">
      <c r="A548" s="628"/>
      <c r="B548" s="628"/>
      <c r="C548" s="630"/>
      <c r="D548" s="628"/>
      <c r="E548" s="630"/>
      <c r="F548" s="629"/>
      <c r="G548" s="635"/>
      <c r="H548" s="624"/>
      <c r="I548" s="630"/>
      <c r="K548" s="633"/>
      <c r="M548" s="634"/>
      <c r="O548" s="769"/>
      <c r="Q548" s="627"/>
      <c r="R548" s="634"/>
      <c r="T548" s="624"/>
      <c r="W548" s="623"/>
      <c r="X548" s="623"/>
      <c r="Y548" s="633"/>
      <c r="Z548" s="624"/>
      <c r="AB548" s="630"/>
      <c r="AC548" s="630"/>
      <c r="AD548" s="630"/>
      <c r="AE548" s="630"/>
      <c r="AF548" s="630"/>
      <c r="AG548" s="630"/>
    </row>
    <row r="549" spans="1:33">
      <c r="A549" s="628"/>
      <c r="B549" s="628"/>
      <c r="C549" s="630"/>
      <c r="D549" s="628"/>
      <c r="E549" s="630"/>
      <c r="F549" s="629"/>
      <c r="G549" s="635"/>
      <c r="H549" s="624"/>
      <c r="I549" s="630"/>
      <c r="K549" s="633"/>
      <c r="M549" s="634"/>
      <c r="O549" s="769"/>
      <c r="Q549" s="627"/>
      <c r="R549" s="634"/>
      <c r="T549" s="624"/>
      <c r="W549" s="623"/>
      <c r="X549" s="623"/>
      <c r="Y549" s="633"/>
      <c r="Z549" s="624"/>
      <c r="AB549" s="630"/>
      <c r="AC549" s="630"/>
      <c r="AD549" s="630"/>
      <c r="AE549" s="630"/>
      <c r="AF549" s="630"/>
      <c r="AG549" s="630"/>
    </row>
    <row r="550" spans="1:33">
      <c r="A550" s="628"/>
      <c r="B550" s="628"/>
      <c r="C550" s="630"/>
      <c r="D550" s="628"/>
      <c r="E550" s="630"/>
      <c r="F550" s="629"/>
      <c r="G550" s="635"/>
      <c r="H550" s="624"/>
      <c r="I550" s="630"/>
      <c r="K550" s="633"/>
      <c r="M550" s="634"/>
      <c r="O550" s="769"/>
      <c r="Q550" s="627"/>
      <c r="R550" s="634"/>
      <c r="T550" s="624"/>
      <c r="W550" s="623"/>
      <c r="X550" s="623"/>
      <c r="Y550" s="633"/>
      <c r="Z550" s="624"/>
      <c r="AB550" s="630"/>
      <c r="AC550" s="630"/>
      <c r="AD550" s="630"/>
      <c r="AE550" s="630"/>
      <c r="AF550" s="630"/>
      <c r="AG550" s="630"/>
    </row>
    <row r="551" spans="1:33">
      <c r="A551" s="628"/>
      <c r="B551" s="628"/>
      <c r="C551" s="630"/>
      <c r="D551" s="628"/>
      <c r="E551" s="630"/>
      <c r="F551" s="629"/>
      <c r="G551" s="635"/>
      <c r="H551" s="624"/>
      <c r="I551" s="630"/>
      <c r="K551" s="633"/>
      <c r="M551" s="634"/>
      <c r="O551" s="769"/>
      <c r="Q551" s="627"/>
      <c r="R551" s="634"/>
      <c r="T551" s="624"/>
      <c r="W551" s="623"/>
      <c r="X551" s="623"/>
      <c r="Y551" s="633"/>
      <c r="Z551" s="624"/>
      <c r="AB551" s="630"/>
      <c r="AC551" s="630"/>
      <c r="AD551" s="630"/>
      <c r="AE551" s="630"/>
      <c r="AF551" s="630"/>
      <c r="AG551" s="630"/>
    </row>
    <row r="552" spans="1:33">
      <c r="A552" s="628"/>
      <c r="B552" s="628"/>
      <c r="C552" s="630"/>
      <c r="D552" s="628"/>
      <c r="E552" s="630"/>
      <c r="F552" s="629"/>
      <c r="G552" s="635"/>
      <c r="H552" s="624"/>
      <c r="I552" s="630"/>
      <c r="K552" s="633"/>
      <c r="M552" s="634"/>
      <c r="O552" s="769"/>
      <c r="Q552" s="627"/>
      <c r="R552" s="634"/>
      <c r="T552" s="624"/>
      <c r="W552" s="623"/>
      <c r="X552" s="623"/>
      <c r="Y552" s="633"/>
      <c r="Z552" s="624"/>
      <c r="AB552" s="630"/>
      <c r="AC552" s="630"/>
      <c r="AD552" s="630"/>
      <c r="AE552" s="630"/>
      <c r="AF552" s="630"/>
      <c r="AG552" s="630"/>
    </row>
    <row r="553" spans="1:33">
      <c r="A553" s="628"/>
      <c r="B553" s="628"/>
      <c r="C553" s="630"/>
      <c r="D553" s="628"/>
      <c r="E553" s="630"/>
      <c r="F553" s="629"/>
      <c r="G553" s="635"/>
      <c r="H553" s="624"/>
      <c r="I553" s="630"/>
      <c r="K553" s="633"/>
      <c r="M553" s="634"/>
      <c r="O553" s="769"/>
      <c r="Q553" s="627"/>
      <c r="R553" s="634"/>
      <c r="T553" s="624"/>
      <c r="W553" s="623"/>
      <c r="X553" s="623"/>
      <c r="Y553" s="633"/>
      <c r="Z553" s="624"/>
      <c r="AB553" s="630"/>
      <c r="AC553" s="630"/>
      <c r="AD553" s="630"/>
      <c r="AE553" s="630"/>
      <c r="AF553" s="630"/>
      <c r="AG553" s="630"/>
    </row>
    <row r="554" spans="1:33">
      <c r="A554" s="628"/>
      <c r="B554" s="628"/>
      <c r="C554" s="630"/>
      <c r="D554" s="628"/>
      <c r="E554" s="630"/>
      <c r="F554" s="629"/>
      <c r="G554" s="635"/>
      <c r="H554" s="624"/>
      <c r="I554" s="630"/>
      <c r="K554" s="633"/>
      <c r="M554" s="634"/>
      <c r="O554" s="769"/>
      <c r="Q554" s="627"/>
      <c r="R554" s="634"/>
      <c r="T554" s="624"/>
      <c r="W554" s="623"/>
      <c r="X554" s="623"/>
      <c r="Y554" s="633"/>
      <c r="Z554" s="624"/>
      <c r="AB554" s="630"/>
      <c r="AC554" s="630"/>
      <c r="AD554" s="630"/>
      <c r="AE554" s="630"/>
      <c r="AF554" s="630"/>
      <c r="AG554" s="630"/>
    </row>
    <row r="555" spans="1:33">
      <c r="A555" s="628"/>
      <c r="B555" s="628"/>
      <c r="C555" s="630"/>
      <c r="D555" s="628"/>
      <c r="E555" s="630"/>
      <c r="F555" s="629"/>
      <c r="G555" s="635"/>
      <c r="H555" s="624"/>
      <c r="I555" s="630"/>
      <c r="K555" s="633"/>
      <c r="M555" s="634"/>
      <c r="O555" s="769"/>
      <c r="Q555" s="627"/>
      <c r="R555" s="634"/>
      <c r="T555" s="624"/>
      <c r="W555" s="623"/>
      <c r="X555" s="623"/>
      <c r="Y555" s="633"/>
      <c r="Z555" s="624"/>
      <c r="AB555" s="630"/>
      <c r="AC555" s="630"/>
      <c r="AD555" s="630"/>
      <c r="AE555" s="630"/>
      <c r="AF555" s="630"/>
      <c r="AG555" s="630"/>
    </row>
    <row r="556" spans="1:33">
      <c r="A556" s="628"/>
      <c r="B556" s="628"/>
      <c r="C556" s="630"/>
      <c r="D556" s="628"/>
      <c r="E556" s="630"/>
      <c r="F556" s="629"/>
      <c r="G556" s="635"/>
      <c r="H556" s="624"/>
      <c r="I556" s="630"/>
      <c r="K556" s="633"/>
      <c r="M556" s="634"/>
      <c r="O556" s="769"/>
      <c r="Q556" s="627"/>
      <c r="R556" s="634"/>
      <c r="T556" s="624"/>
      <c r="W556" s="623"/>
      <c r="X556" s="623"/>
      <c r="Y556" s="633"/>
      <c r="Z556" s="624"/>
      <c r="AB556" s="630"/>
      <c r="AC556" s="630"/>
      <c r="AD556" s="630"/>
      <c r="AE556" s="630"/>
      <c r="AF556" s="630"/>
      <c r="AG556" s="630"/>
    </row>
    <row r="557" spans="1:33">
      <c r="A557" s="628"/>
      <c r="B557" s="628"/>
      <c r="C557" s="630"/>
      <c r="D557" s="628"/>
      <c r="E557" s="630"/>
      <c r="F557" s="629"/>
      <c r="G557" s="635"/>
      <c r="H557" s="624"/>
      <c r="I557" s="630"/>
      <c r="K557" s="633"/>
      <c r="M557" s="634"/>
      <c r="O557" s="769"/>
      <c r="Q557" s="627"/>
      <c r="R557" s="634"/>
      <c r="T557" s="624"/>
      <c r="W557" s="623"/>
      <c r="X557" s="623"/>
      <c r="Y557" s="633"/>
      <c r="Z557" s="624"/>
      <c r="AB557" s="630"/>
      <c r="AC557" s="630"/>
      <c r="AD557" s="630"/>
      <c r="AE557" s="630"/>
      <c r="AF557" s="630"/>
      <c r="AG557" s="630"/>
    </row>
    <row r="558" spans="1:33">
      <c r="A558" s="628"/>
      <c r="B558" s="628"/>
      <c r="C558" s="630"/>
      <c r="D558" s="628"/>
      <c r="E558" s="630"/>
      <c r="F558" s="629"/>
      <c r="G558" s="635"/>
      <c r="H558" s="624"/>
      <c r="I558" s="630"/>
      <c r="K558" s="633"/>
      <c r="M558" s="634"/>
      <c r="O558" s="769"/>
      <c r="Q558" s="627"/>
      <c r="R558" s="634"/>
      <c r="T558" s="624"/>
      <c r="W558" s="623"/>
      <c r="X558" s="623"/>
      <c r="Y558" s="633"/>
      <c r="Z558" s="624"/>
      <c r="AB558" s="630"/>
      <c r="AC558" s="630"/>
      <c r="AD558" s="630"/>
      <c r="AE558" s="630"/>
      <c r="AF558" s="630"/>
      <c r="AG558" s="630"/>
    </row>
    <row r="559" spans="1:33">
      <c r="A559" s="628"/>
      <c r="B559" s="628"/>
      <c r="C559" s="630"/>
      <c r="D559" s="628"/>
      <c r="E559" s="630"/>
      <c r="F559" s="629"/>
      <c r="G559" s="635"/>
      <c r="H559" s="624"/>
      <c r="I559" s="630"/>
      <c r="K559" s="633"/>
      <c r="M559" s="634"/>
      <c r="O559" s="769"/>
      <c r="Q559" s="627"/>
      <c r="R559" s="634"/>
      <c r="T559" s="624"/>
      <c r="W559" s="623"/>
      <c r="X559" s="623"/>
      <c r="Y559" s="633"/>
      <c r="Z559" s="624"/>
      <c r="AB559" s="630"/>
      <c r="AC559" s="630"/>
      <c r="AD559" s="630"/>
      <c r="AE559" s="630"/>
      <c r="AF559" s="630"/>
      <c r="AG559" s="630"/>
    </row>
    <row r="560" spans="1:33">
      <c r="A560" s="628"/>
      <c r="B560" s="628"/>
      <c r="C560" s="630"/>
      <c r="D560" s="628"/>
      <c r="E560" s="630"/>
      <c r="F560" s="629"/>
      <c r="G560" s="635"/>
      <c r="H560" s="624"/>
      <c r="I560" s="630"/>
      <c r="K560" s="633"/>
      <c r="M560" s="634"/>
      <c r="O560" s="769"/>
      <c r="Q560" s="627"/>
      <c r="R560" s="634"/>
      <c r="T560" s="624"/>
      <c r="W560" s="623"/>
      <c r="X560" s="623"/>
      <c r="Y560" s="633"/>
      <c r="Z560" s="624"/>
      <c r="AB560" s="630"/>
      <c r="AC560" s="630"/>
      <c r="AD560" s="630"/>
      <c r="AE560" s="630"/>
      <c r="AF560" s="630"/>
      <c r="AG560" s="630"/>
    </row>
    <row r="561" spans="1:33">
      <c r="A561" s="628"/>
      <c r="B561" s="628"/>
      <c r="C561" s="630"/>
      <c r="D561" s="628"/>
      <c r="E561" s="630"/>
      <c r="F561" s="629"/>
      <c r="G561" s="635"/>
      <c r="H561" s="624"/>
      <c r="I561" s="630"/>
      <c r="K561" s="633"/>
      <c r="M561" s="634"/>
      <c r="O561" s="769"/>
      <c r="Q561" s="627"/>
      <c r="R561" s="634"/>
      <c r="T561" s="624"/>
      <c r="W561" s="623"/>
      <c r="X561" s="623"/>
      <c r="Y561" s="633"/>
      <c r="Z561" s="624"/>
      <c r="AB561" s="630"/>
      <c r="AC561" s="630"/>
      <c r="AD561" s="630"/>
      <c r="AE561" s="630"/>
      <c r="AF561" s="630"/>
      <c r="AG561" s="630"/>
    </row>
    <row r="562" spans="1:33">
      <c r="A562" s="628"/>
      <c r="B562" s="628"/>
      <c r="C562" s="630"/>
      <c r="D562" s="628"/>
      <c r="E562" s="630"/>
      <c r="F562" s="629"/>
      <c r="G562" s="635"/>
      <c r="H562" s="624"/>
      <c r="I562" s="630"/>
      <c r="K562" s="633"/>
      <c r="M562" s="634"/>
      <c r="O562" s="769"/>
      <c r="Q562" s="627"/>
      <c r="R562" s="634"/>
      <c r="T562" s="624"/>
      <c r="W562" s="623"/>
      <c r="X562" s="623"/>
      <c r="Y562" s="633"/>
      <c r="Z562" s="624"/>
      <c r="AB562" s="630"/>
      <c r="AC562" s="630"/>
      <c r="AD562" s="630"/>
      <c r="AE562" s="630"/>
      <c r="AF562" s="630"/>
      <c r="AG562" s="630"/>
    </row>
    <row r="563" spans="1:33">
      <c r="A563" s="628"/>
      <c r="B563" s="628"/>
      <c r="C563" s="630"/>
      <c r="D563" s="628"/>
      <c r="E563" s="630"/>
      <c r="F563" s="629"/>
      <c r="G563" s="635"/>
      <c r="H563" s="624"/>
      <c r="I563" s="630"/>
      <c r="K563" s="633"/>
      <c r="M563" s="634"/>
      <c r="O563" s="769"/>
      <c r="Q563" s="627"/>
      <c r="R563" s="634"/>
      <c r="T563" s="624"/>
      <c r="W563" s="623"/>
      <c r="X563" s="623"/>
      <c r="Y563" s="633"/>
      <c r="Z563" s="624"/>
      <c r="AB563" s="630"/>
      <c r="AC563" s="630"/>
      <c r="AD563" s="630"/>
      <c r="AE563" s="630"/>
      <c r="AF563" s="630"/>
      <c r="AG563" s="630"/>
    </row>
    <row r="564" spans="1:33">
      <c r="A564" s="628"/>
      <c r="B564" s="628"/>
      <c r="C564" s="630"/>
      <c r="D564" s="628"/>
      <c r="E564" s="630"/>
      <c r="F564" s="629"/>
      <c r="G564" s="635"/>
      <c r="H564" s="624"/>
      <c r="I564" s="630"/>
      <c r="K564" s="633"/>
      <c r="M564" s="634"/>
      <c r="O564" s="769"/>
      <c r="Q564" s="627"/>
      <c r="R564" s="634"/>
      <c r="T564" s="624"/>
      <c r="W564" s="623"/>
      <c r="X564" s="623"/>
      <c r="Y564" s="633"/>
      <c r="Z564" s="624"/>
      <c r="AB564" s="630"/>
      <c r="AC564" s="630"/>
      <c r="AD564" s="630"/>
      <c r="AE564" s="630"/>
      <c r="AF564" s="630"/>
      <c r="AG564" s="630"/>
    </row>
    <row r="565" spans="1:33">
      <c r="A565" s="628"/>
      <c r="B565" s="628"/>
      <c r="C565" s="630"/>
      <c r="D565" s="628"/>
      <c r="E565" s="630"/>
      <c r="F565" s="629"/>
      <c r="G565" s="635"/>
      <c r="H565" s="624"/>
      <c r="I565" s="630"/>
      <c r="K565" s="633"/>
      <c r="M565" s="634"/>
      <c r="O565" s="769"/>
      <c r="Q565" s="627"/>
      <c r="R565" s="634"/>
      <c r="T565" s="624"/>
      <c r="W565" s="623"/>
      <c r="X565" s="623"/>
      <c r="Y565" s="633"/>
      <c r="Z565" s="624"/>
      <c r="AB565" s="630"/>
      <c r="AC565" s="630"/>
      <c r="AD565" s="630"/>
      <c r="AE565" s="630"/>
      <c r="AF565" s="630"/>
      <c r="AG565" s="630"/>
    </row>
    <row r="566" spans="1:33">
      <c r="A566" s="628"/>
      <c r="B566" s="628"/>
      <c r="C566" s="630"/>
      <c r="D566" s="628"/>
      <c r="E566" s="630"/>
      <c r="F566" s="629"/>
      <c r="G566" s="635"/>
      <c r="H566" s="624"/>
      <c r="I566" s="630"/>
      <c r="K566" s="633"/>
      <c r="M566" s="634"/>
      <c r="O566" s="769"/>
      <c r="Q566" s="627"/>
      <c r="R566" s="634"/>
      <c r="T566" s="624"/>
      <c r="W566" s="623"/>
      <c r="X566" s="623"/>
      <c r="Y566" s="633"/>
      <c r="Z566" s="624"/>
      <c r="AB566" s="630"/>
      <c r="AC566" s="630"/>
      <c r="AD566" s="630"/>
      <c r="AE566" s="630"/>
      <c r="AF566" s="630"/>
      <c r="AG566" s="630"/>
    </row>
    <row r="567" spans="1:33">
      <c r="A567" s="628"/>
      <c r="B567" s="628"/>
      <c r="C567" s="630"/>
      <c r="D567" s="628"/>
      <c r="E567" s="630"/>
      <c r="F567" s="629"/>
      <c r="G567" s="635"/>
      <c r="H567" s="624"/>
      <c r="I567" s="630"/>
      <c r="K567" s="633"/>
      <c r="M567" s="634"/>
      <c r="O567" s="769"/>
      <c r="Q567" s="627"/>
      <c r="R567" s="634"/>
      <c r="T567" s="624"/>
      <c r="W567" s="623"/>
      <c r="X567" s="623"/>
      <c r="Y567" s="633"/>
      <c r="Z567" s="624"/>
      <c r="AB567" s="630"/>
      <c r="AC567" s="630"/>
      <c r="AD567" s="630"/>
      <c r="AE567" s="630"/>
      <c r="AF567" s="630"/>
      <c r="AG567" s="630"/>
    </row>
    <row r="568" spans="1:33">
      <c r="A568" s="628"/>
      <c r="B568" s="628"/>
      <c r="C568" s="630"/>
      <c r="D568" s="628"/>
      <c r="E568" s="630"/>
      <c r="F568" s="629"/>
      <c r="G568" s="635"/>
      <c r="H568" s="624"/>
      <c r="I568" s="630"/>
      <c r="K568" s="633"/>
      <c r="M568" s="634"/>
      <c r="O568" s="769"/>
      <c r="Q568" s="627"/>
      <c r="R568" s="634"/>
      <c r="T568" s="624"/>
      <c r="W568" s="623"/>
      <c r="X568" s="623"/>
      <c r="Y568" s="633"/>
      <c r="Z568" s="624"/>
      <c r="AB568" s="630"/>
      <c r="AC568" s="630"/>
      <c r="AD568" s="630"/>
      <c r="AE568" s="630"/>
      <c r="AF568" s="630"/>
      <c r="AG568" s="630"/>
    </row>
    <row r="569" spans="1:33">
      <c r="A569" s="628"/>
      <c r="B569" s="628"/>
      <c r="C569" s="630"/>
      <c r="D569" s="628"/>
      <c r="E569" s="630"/>
      <c r="F569" s="629"/>
      <c r="G569" s="635"/>
      <c r="H569" s="624"/>
      <c r="I569" s="630"/>
      <c r="K569" s="633"/>
      <c r="M569" s="634"/>
      <c r="O569" s="769"/>
      <c r="Q569" s="627"/>
      <c r="R569" s="634"/>
      <c r="T569" s="624"/>
      <c r="W569" s="623"/>
      <c r="X569" s="623"/>
      <c r="Y569" s="633"/>
      <c r="Z569" s="624"/>
      <c r="AB569" s="630"/>
      <c r="AC569" s="630"/>
      <c r="AD569" s="630"/>
      <c r="AE569" s="630"/>
      <c r="AF569" s="630"/>
      <c r="AG569" s="630"/>
    </row>
    <row r="570" spans="1:33">
      <c r="A570" s="628"/>
      <c r="B570" s="628"/>
      <c r="C570" s="630"/>
      <c r="D570" s="628"/>
      <c r="E570" s="630"/>
      <c r="F570" s="629"/>
      <c r="G570" s="635"/>
      <c r="H570" s="624"/>
      <c r="I570" s="630"/>
      <c r="K570" s="633"/>
      <c r="M570" s="634"/>
      <c r="O570" s="769"/>
      <c r="Q570" s="627"/>
      <c r="R570" s="634"/>
      <c r="T570" s="624"/>
      <c r="W570" s="623"/>
      <c r="X570" s="623"/>
      <c r="Y570" s="633"/>
      <c r="Z570" s="624"/>
      <c r="AB570" s="630"/>
      <c r="AC570" s="630"/>
      <c r="AD570" s="630"/>
      <c r="AE570" s="630"/>
      <c r="AF570" s="630"/>
      <c r="AG570" s="630"/>
    </row>
    <row r="571" spans="1:33">
      <c r="A571" s="628"/>
      <c r="B571" s="628"/>
      <c r="C571" s="630"/>
      <c r="D571" s="628"/>
      <c r="E571" s="630"/>
      <c r="F571" s="629"/>
      <c r="G571" s="635"/>
      <c r="H571" s="624"/>
      <c r="I571" s="630"/>
      <c r="K571" s="633"/>
      <c r="M571" s="634"/>
      <c r="O571" s="769"/>
      <c r="Q571" s="627"/>
      <c r="R571" s="634"/>
      <c r="T571" s="624"/>
      <c r="W571" s="623"/>
      <c r="X571" s="623"/>
      <c r="Y571" s="633"/>
      <c r="Z571" s="624"/>
      <c r="AB571" s="630"/>
      <c r="AC571" s="630"/>
      <c r="AD571" s="630"/>
      <c r="AE571" s="630"/>
      <c r="AF571" s="630"/>
      <c r="AG571" s="630"/>
    </row>
    <row r="572" spans="1:33">
      <c r="A572" s="628"/>
      <c r="B572" s="628"/>
      <c r="C572" s="630"/>
      <c r="D572" s="628"/>
      <c r="E572" s="630"/>
      <c r="F572" s="629"/>
      <c r="G572" s="635"/>
      <c r="H572" s="624"/>
      <c r="I572" s="630"/>
      <c r="K572" s="633"/>
      <c r="M572" s="634"/>
      <c r="O572" s="769"/>
      <c r="Q572" s="627"/>
      <c r="R572" s="634"/>
      <c r="T572" s="624"/>
      <c r="W572" s="623"/>
      <c r="X572" s="623"/>
      <c r="Y572" s="633"/>
      <c r="Z572" s="624"/>
      <c r="AB572" s="630"/>
      <c r="AC572" s="630"/>
      <c r="AD572" s="630"/>
      <c r="AE572" s="630"/>
      <c r="AF572" s="630"/>
      <c r="AG572" s="630"/>
    </row>
    <row r="573" spans="1:33">
      <c r="A573" s="628"/>
      <c r="B573" s="628"/>
      <c r="C573" s="630"/>
      <c r="D573" s="628"/>
      <c r="E573" s="630"/>
      <c r="F573" s="629"/>
      <c r="G573" s="635"/>
      <c r="H573" s="624"/>
      <c r="I573" s="630"/>
      <c r="K573" s="633"/>
      <c r="M573" s="634"/>
      <c r="O573" s="769"/>
      <c r="Q573" s="627"/>
      <c r="R573" s="634"/>
      <c r="T573" s="624"/>
      <c r="W573" s="623"/>
      <c r="X573" s="623"/>
      <c r="Y573" s="633"/>
      <c r="Z573" s="624"/>
      <c r="AB573" s="630"/>
      <c r="AC573" s="630"/>
      <c r="AD573" s="630"/>
      <c r="AE573" s="630"/>
      <c r="AF573" s="630"/>
      <c r="AG573" s="630"/>
    </row>
    <row r="574" spans="1:33">
      <c r="A574" s="628"/>
      <c r="B574" s="628"/>
      <c r="C574" s="630"/>
      <c r="D574" s="628"/>
      <c r="E574" s="630"/>
      <c r="F574" s="629"/>
      <c r="G574" s="635"/>
      <c r="H574" s="624"/>
      <c r="I574" s="630"/>
      <c r="K574" s="633"/>
      <c r="M574" s="634"/>
      <c r="O574" s="769"/>
      <c r="Q574" s="627"/>
      <c r="R574" s="634"/>
      <c r="T574" s="624"/>
      <c r="W574" s="623"/>
      <c r="X574" s="623"/>
      <c r="Y574" s="633"/>
      <c r="Z574" s="624"/>
      <c r="AB574" s="630"/>
      <c r="AC574" s="630"/>
      <c r="AD574" s="630"/>
      <c r="AE574" s="630"/>
      <c r="AF574" s="630"/>
      <c r="AG574" s="630"/>
    </row>
    <row r="575" spans="1:33">
      <c r="A575" s="628"/>
      <c r="B575" s="628"/>
      <c r="C575" s="630"/>
      <c r="D575" s="628"/>
      <c r="E575" s="630"/>
      <c r="F575" s="629"/>
      <c r="G575" s="635"/>
      <c r="H575" s="624"/>
      <c r="I575" s="630"/>
      <c r="K575" s="633"/>
      <c r="M575" s="634"/>
      <c r="O575" s="769"/>
      <c r="Q575" s="627"/>
      <c r="R575" s="634"/>
      <c r="T575" s="624"/>
      <c r="W575" s="623"/>
      <c r="X575" s="623"/>
      <c r="Y575" s="633"/>
      <c r="Z575" s="624"/>
      <c r="AB575" s="630"/>
      <c r="AC575" s="630"/>
      <c r="AD575" s="630"/>
      <c r="AE575" s="630"/>
      <c r="AF575" s="630"/>
      <c r="AG575" s="630"/>
    </row>
    <row r="576" spans="1:33">
      <c r="A576" s="628"/>
      <c r="B576" s="628"/>
      <c r="C576" s="630"/>
      <c r="D576" s="628"/>
      <c r="E576" s="630"/>
      <c r="F576" s="629"/>
      <c r="G576" s="635"/>
      <c r="H576" s="624"/>
      <c r="I576" s="630"/>
      <c r="K576" s="633"/>
      <c r="M576" s="634"/>
      <c r="O576" s="769"/>
      <c r="Q576" s="627"/>
      <c r="R576" s="634"/>
      <c r="T576" s="624"/>
      <c r="W576" s="623"/>
      <c r="X576" s="623"/>
      <c r="Y576" s="633"/>
      <c r="Z576" s="624"/>
      <c r="AB576" s="630"/>
      <c r="AC576" s="630"/>
      <c r="AD576" s="630"/>
      <c r="AE576" s="630"/>
      <c r="AF576" s="630"/>
      <c r="AG576" s="630"/>
    </row>
    <row r="577" spans="1:33">
      <c r="A577" s="628"/>
      <c r="B577" s="628"/>
      <c r="C577" s="630"/>
      <c r="D577" s="628"/>
      <c r="E577" s="630"/>
      <c r="F577" s="629"/>
      <c r="G577" s="635"/>
      <c r="H577" s="624"/>
      <c r="I577" s="630"/>
      <c r="K577" s="633"/>
      <c r="M577" s="634"/>
      <c r="O577" s="769"/>
      <c r="Q577" s="627"/>
      <c r="R577" s="634"/>
      <c r="T577" s="624"/>
      <c r="W577" s="623"/>
      <c r="X577" s="623"/>
      <c r="Y577" s="633"/>
      <c r="Z577" s="624"/>
      <c r="AB577" s="630"/>
      <c r="AC577" s="630"/>
      <c r="AD577" s="630"/>
      <c r="AE577" s="630"/>
      <c r="AF577" s="630"/>
      <c r="AG577" s="630"/>
    </row>
    <row r="578" spans="1:33">
      <c r="A578" s="628"/>
      <c r="B578" s="628"/>
      <c r="C578" s="630"/>
      <c r="D578" s="628"/>
      <c r="E578" s="630"/>
      <c r="F578" s="629"/>
      <c r="G578" s="635"/>
      <c r="H578" s="624"/>
      <c r="I578" s="630"/>
      <c r="K578" s="633"/>
      <c r="M578" s="634"/>
      <c r="O578" s="769"/>
      <c r="Q578" s="627"/>
      <c r="R578" s="634"/>
      <c r="T578" s="624"/>
      <c r="W578" s="623"/>
      <c r="X578" s="623"/>
      <c r="Y578" s="633"/>
      <c r="Z578" s="624"/>
      <c r="AB578" s="630"/>
      <c r="AC578" s="630"/>
      <c r="AD578" s="630"/>
      <c r="AE578" s="630"/>
      <c r="AF578" s="630"/>
      <c r="AG578" s="630"/>
    </row>
    <row r="579" spans="1:33">
      <c r="A579" s="628"/>
      <c r="B579" s="628"/>
      <c r="C579" s="630"/>
      <c r="D579" s="628"/>
      <c r="E579" s="630"/>
      <c r="F579" s="629"/>
      <c r="G579" s="635"/>
      <c r="H579" s="624"/>
      <c r="I579" s="630"/>
      <c r="K579" s="633"/>
      <c r="M579" s="634"/>
      <c r="O579" s="769"/>
      <c r="Q579" s="627"/>
      <c r="R579" s="634"/>
      <c r="T579" s="624"/>
      <c r="W579" s="623"/>
      <c r="X579" s="623"/>
      <c r="Y579" s="633"/>
      <c r="Z579" s="624"/>
      <c r="AB579" s="630"/>
      <c r="AC579" s="630"/>
      <c r="AD579" s="630"/>
      <c r="AE579" s="630"/>
      <c r="AF579" s="630"/>
      <c r="AG579" s="630"/>
    </row>
    <row r="580" spans="1:33">
      <c r="A580" s="628"/>
      <c r="B580" s="628"/>
      <c r="C580" s="630"/>
      <c r="D580" s="628"/>
      <c r="E580" s="630"/>
      <c r="F580" s="629"/>
      <c r="G580" s="635"/>
      <c r="H580" s="624"/>
      <c r="I580" s="630"/>
      <c r="K580" s="633"/>
      <c r="M580" s="634"/>
      <c r="O580" s="769"/>
      <c r="Q580" s="627"/>
      <c r="R580" s="634"/>
      <c r="T580" s="624"/>
      <c r="W580" s="623"/>
      <c r="X580" s="623"/>
      <c r="Y580" s="633"/>
      <c r="Z580" s="624"/>
      <c r="AB580" s="630"/>
      <c r="AC580" s="630"/>
      <c r="AD580" s="630"/>
      <c r="AE580" s="630"/>
      <c r="AF580" s="630"/>
      <c r="AG580" s="630"/>
    </row>
    <row r="581" spans="1:33">
      <c r="A581" s="628"/>
      <c r="B581" s="628"/>
      <c r="C581" s="630"/>
      <c r="D581" s="628"/>
      <c r="E581" s="630"/>
      <c r="F581" s="629"/>
      <c r="G581" s="635"/>
      <c r="H581" s="624"/>
      <c r="I581" s="630"/>
      <c r="K581" s="633"/>
      <c r="M581" s="634"/>
      <c r="O581" s="769"/>
      <c r="Q581" s="627"/>
      <c r="R581" s="634"/>
      <c r="T581" s="624"/>
      <c r="W581" s="623"/>
      <c r="X581" s="623"/>
      <c r="Y581" s="633"/>
      <c r="Z581" s="624"/>
      <c r="AB581" s="630"/>
      <c r="AC581" s="630"/>
      <c r="AD581" s="630"/>
      <c r="AE581" s="630"/>
      <c r="AF581" s="630"/>
      <c r="AG581" s="630"/>
    </row>
    <row r="582" spans="1:33">
      <c r="A582" s="628"/>
      <c r="B582" s="628"/>
      <c r="C582" s="630"/>
      <c r="D582" s="628"/>
      <c r="E582" s="630"/>
      <c r="F582" s="629"/>
      <c r="G582" s="635"/>
      <c r="H582" s="624"/>
      <c r="I582" s="630"/>
      <c r="K582" s="633"/>
      <c r="M582" s="634"/>
      <c r="O582" s="769"/>
      <c r="Q582" s="627"/>
      <c r="R582" s="634"/>
      <c r="T582" s="624"/>
      <c r="W582" s="623"/>
      <c r="X582" s="623"/>
      <c r="Y582" s="633"/>
      <c r="Z582" s="624"/>
      <c r="AB582" s="630"/>
      <c r="AC582" s="630"/>
      <c r="AD582" s="630"/>
      <c r="AE582" s="630"/>
      <c r="AF582" s="630"/>
      <c r="AG582" s="630"/>
    </row>
    <row r="583" spans="1:33">
      <c r="A583" s="628"/>
      <c r="B583" s="628"/>
      <c r="C583" s="630"/>
      <c r="D583" s="628"/>
      <c r="E583" s="630"/>
      <c r="F583" s="629"/>
      <c r="G583" s="635"/>
      <c r="H583" s="624"/>
      <c r="I583" s="630"/>
      <c r="K583" s="633"/>
      <c r="M583" s="634"/>
      <c r="O583" s="769"/>
      <c r="Q583" s="627"/>
      <c r="R583" s="634"/>
      <c r="T583" s="624"/>
      <c r="W583" s="623"/>
      <c r="X583" s="623"/>
      <c r="Y583" s="633"/>
      <c r="Z583" s="624"/>
      <c r="AB583" s="630"/>
      <c r="AC583" s="630"/>
      <c r="AD583" s="630"/>
      <c r="AE583" s="630"/>
      <c r="AF583" s="630"/>
      <c r="AG583" s="630"/>
    </row>
    <row r="584" spans="1:33">
      <c r="A584" s="628"/>
      <c r="B584" s="628"/>
      <c r="C584" s="630"/>
      <c r="D584" s="628"/>
      <c r="E584" s="630"/>
      <c r="F584" s="629"/>
      <c r="G584" s="635"/>
      <c r="H584" s="624"/>
      <c r="I584" s="630"/>
      <c r="K584" s="633"/>
      <c r="M584" s="634"/>
      <c r="O584" s="769"/>
      <c r="Q584" s="627"/>
      <c r="R584" s="634"/>
      <c r="T584" s="624"/>
      <c r="W584" s="623"/>
      <c r="X584" s="623"/>
      <c r="Y584" s="633"/>
      <c r="Z584" s="624"/>
      <c r="AB584" s="630"/>
      <c r="AC584" s="630"/>
      <c r="AD584" s="630"/>
      <c r="AE584" s="630"/>
      <c r="AF584" s="630"/>
      <c r="AG584" s="630"/>
    </row>
    <row r="585" spans="1:33">
      <c r="A585" s="628"/>
      <c r="B585" s="628"/>
      <c r="C585" s="630"/>
      <c r="D585" s="628"/>
      <c r="E585" s="630"/>
      <c r="F585" s="629"/>
      <c r="G585" s="635"/>
      <c r="H585" s="624"/>
      <c r="I585" s="630"/>
      <c r="K585" s="633"/>
      <c r="M585" s="634"/>
      <c r="O585" s="769"/>
      <c r="Q585" s="627"/>
      <c r="R585" s="634"/>
      <c r="T585" s="624"/>
      <c r="W585" s="623"/>
      <c r="X585" s="623"/>
      <c r="Y585" s="633"/>
      <c r="Z585" s="624"/>
      <c r="AB585" s="630"/>
      <c r="AC585" s="630"/>
      <c r="AD585" s="630"/>
      <c r="AE585" s="630"/>
      <c r="AF585" s="630"/>
      <c r="AG585" s="630"/>
    </row>
    <row r="586" spans="1:33">
      <c r="A586" s="628"/>
      <c r="B586" s="628"/>
      <c r="C586" s="630"/>
      <c r="D586" s="628"/>
      <c r="E586" s="630"/>
      <c r="F586" s="629"/>
      <c r="G586" s="635"/>
      <c r="H586" s="624"/>
      <c r="I586" s="630"/>
      <c r="K586" s="633"/>
      <c r="M586" s="634"/>
      <c r="O586" s="769"/>
      <c r="Q586" s="627"/>
      <c r="R586" s="634"/>
      <c r="T586" s="624"/>
      <c r="W586" s="623"/>
      <c r="X586" s="623"/>
      <c r="Y586" s="633"/>
      <c r="Z586" s="624"/>
      <c r="AB586" s="630"/>
      <c r="AC586" s="630"/>
      <c r="AD586" s="630"/>
      <c r="AE586" s="630"/>
      <c r="AF586" s="630"/>
      <c r="AG586" s="630"/>
    </row>
    <row r="587" spans="1:33">
      <c r="A587" s="628"/>
      <c r="B587" s="628"/>
      <c r="C587" s="630"/>
      <c r="D587" s="628"/>
      <c r="E587" s="630"/>
      <c r="F587" s="629"/>
      <c r="G587" s="635"/>
      <c r="H587" s="624"/>
      <c r="I587" s="630"/>
      <c r="K587" s="633"/>
      <c r="M587" s="634"/>
      <c r="O587" s="769"/>
      <c r="Q587" s="627"/>
      <c r="R587" s="634"/>
      <c r="T587" s="624"/>
      <c r="W587" s="623"/>
      <c r="X587" s="623"/>
      <c r="Y587" s="633"/>
      <c r="Z587" s="624"/>
      <c r="AB587" s="630"/>
      <c r="AC587" s="630"/>
      <c r="AD587" s="630"/>
      <c r="AE587" s="630"/>
      <c r="AF587" s="630"/>
      <c r="AG587" s="630"/>
    </row>
    <row r="588" spans="1:33">
      <c r="A588" s="628"/>
      <c r="B588" s="628"/>
      <c r="C588" s="630"/>
      <c r="D588" s="628"/>
      <c r="E588" s="630"/>
      <c r="F588" s="629"/>
      <c r="G588" s="635"/>
      <c r="H588" s="624"/>
      <c r="I588" s="630"/>
      <c r="K588" s="633"/>
      <c r="M588" s="634"/>
      <c r="O588" s="769"/>
      <c r="Q588" s="627"/>
      <c r="R588" s="634"/>
      <c r="T588" s="624"/>
      <c r="W588" s="623"/>
      <c r="X588" s="623"/>
      <c r="Y588" s="633"/>
      <c r="Z588" s="624"/>
      <c r="AB588" s="630"/>
      <c r="AC588" s="630"/>
      <c r="AD588" s="630"/>
      <c r="AE588" s="630"/>
      <c r="AF588" s="630"/>
      <c r="AG588" s="630"/>
    </row>
    <row r="589" spans="1:33">
      <c r="A589" s="628"/>
      <c r="B589" s="628"/>
      <c r="C589" s="630"/>
      <c r="D589" s="628"/>
      <c r="E589" s="630"/>
      <c r="F589" s="629"/>
      <c r="G589" s="635"/>
      <c r="H589" s="624"/>
      <c r="I589" s="630"/>
      <c r="K589" s="633"/>
      <c r="M589" s="634"/>
      <c r="O589" s="769"/>
      <c r="Q589" s="627"/>
      <c r="R589" s="634"/>
      <c r="T589" s="624"/>
      <c r="W589" s="623"/>
      <c r="X589" s="623"/>
      <c r="Y589" s="633"/>
      <c r="Z589" s="624"/>
      <c r="AB589" s="630"/>
      <c r="AC589" s="630"/>
      <c r="AD589" s="630"/>
      <c r="AE589" s="630"/>
      <c r="AF589" s="630"/>
      <c r="AG589" s="630"/>
    </row>
    <row r="590" spans="1:33">
      <c r="A590" s="628"/>
      <c r="B590" s="628"/>
      <c r="C590" s="630"/>
      <c r="D590" s="628"/>
      <c r="E590" s="630"/>
      <c r="F590" s="629"/>
      <c r="G590" s="635"/>
      <c r="H590" s="624"/>
      <c r="I590" s="630"/>
      <c r="K590" s="633"/>
      <c r="M590" s="634"/>
      <c r="O590" s="769"/>
      <c r="Q590" s="627"/>
      <c r="R590" s="634"/>
      <c r="T590" s="624"/>
      <c r="W590" s="623"/>
      <c r="X590" s="623"/>
      <c r="Y590" s="633"/>
      <c r="Z590" s="624"/>
      <c r="AB590" s="630"/>
      <c r="AC590" s="630"/>
      <c r="AD590" s="630"/>
      <c r="AE590" s="630"/>
      <c r="AF590" s="630"/>
      <c r="AG590" s="630"/>
    </row>
    <row r="591" spans="1:33">
      <c r="A591" s="628"/>
      <c r="B591" s="628"/>
      <c r="C591" s="630"/>
      <c r="D591" s="628"/>
      <c r="E591" s="630"/>
      <c r="F591" s="629"/>
      <c r="G591" s="635"/>
      <c r="H591" s="624"/>
      <c r="I591" s="630"/>
      <c r="K591" s="633"/>
      <c r="M591" s="634"/>
      <c r="O591" s="769"/>
      <c r="Q591" s="627"/>
      <c r="R591" s="634"/>
      <c r="T591" s="624"/>
      <c r="W591" s="623"/>
      <c r="X591" s="623"/>
      <c r="Y591" s="633"/>
      <c r="Z591" s="624"/>
      <c r="AB591" s="630"/>
      <c r="AC591" s="630"/>
      <c r="AD591" s="630"/>
      <c r="AE591" s="630"/>
      <c r="AF591" s="630"/>
      <c r="AG591" s="630"/>
    </row>
    <row r="592" spans="1:33">
      <c r="A592" s="628"/>
      <c r="B592" s="628"/>
      <c r="C592" s="630"/>
      <c r="D592" s="628"/>
      <c r="E592" s="630"/>
      <c r="F592" s="629"/>
      <c r="G592" s="635"/>
      <c r="H592" s="624"/>
      <c r="I592" s="630"/>
      <c r="K592" s="633"/>
      <c r="M592" s="634"/>
      <c r="O592" s="769"/>
      <c r="Q592" s="627"/>
      <c r="R592" s="634"/>
      <c r="T592" s="624"/>
      <c r="W592" s="623"/>
      <c r="X592" s="623"/>
      <c r="Y592" s="633"/>
      <c r="Z592" s="624"/>
      <c r="AB592" s="630"/>
      <c r="AC592" s="630"/>
      <c r="AD592" s="630"/>
      <c r="AE592" s="630"/>
      <c r="AF592" s="630"/>
      <c r="AG592" s="630"/>
    </row>
    <row r="593" spans="1:33">
      <c r="A593" s="628"/>
      <c r="B593" s="628"/>
      <c r="C593" s="630"/>
      <c r="D593" s="628"/>
      <c r="E593" s="630"/>
      <c r="F593" s="629"/>
      <c r="G593" s="635"/>
      <c r="H593" s="624"/>
      <c r="I593" s="630"/>
      <c r="K593" s="633"/>
      <c r="M593" s="634"/>
      <c r="O593" s="769"/>
      <c r="Q593" s="627"/>
      <c r="R593" s="634"/>
      <c r="T593" s="624"/>
      <c r="W593" s="623"/>
      <c r="X593" s="623"/>
      <c r="Y593" s="633"/>
      <c r="Z593" s="624"/>
      <c r="AB593" s="630"/>
      <c r="AC593" s="630"/>
      <c r="AD593" s="630"/>
      <c r="AE593" s="630"/>
      <c r="AF593" s="630"/>
      <c r="AG593" s="630"/>
    </row>
    <row r="594" spans="1:33">
      <c r="A594" s="628"/>
      <c r="B594" s="628"/>
      <c r="C594" s="630"/>
      <c r="D594" s="628"/>
      <c r="E594" s="630"/>
      <c r="F594" s="629"/>
      <c r="G594" s="635"/>
      <c r="H594" s="624"/>
      <c r="I594" s="630"/>
      <c r="K594" s="633"/>
      <c r="M594" s="634"/>
      <c r="O594" s="769"/>
      <c r="Q594" s="627"/>
      <c r="R594" s="634"/>
      <c r="T594" s="624"/>
      <c r="W594" s="623"/>
      <c r="X594" s="623"/>
      <c r="Y594" s="633"/>
      <c r="Z594" s="624"/>
      <c r="AB594" s="630"/>
      <c r="AC594" s="630"/>
      <c r="AD594" s="630"/>
      <c r="AE594" s="630"/>
      <c r="AF594" s="630"/>
      <c r="AG594" s="630"/>
    </row>
    <row r="595" spans="1:33">
      <c r="A595" s="628"/>
      <c r="B595" s="628"/>
      <c r="C595" s="630"/>
      <c r="D595" s="628"/>
      <c r="E595" s="630"/>
      <c r="F595" s="629"/>
      <c r="G595" s="635"/>
      <c r="H595" s="624"/>
      <c r="I595" s="630"/>
      <c r="K595" s="633"/>
      <c r="M595" s="634"/>
      <c r="O595" s="769"/>
      <c r="Q595" s="627"/>
      <c r="R595" s="634"/>
      <c r="T595" s="624"/>
      <c r="W595" s="623"/>
      <c r="X595" s="623"/>
      <c r="Y595" s="633"/>
      <c r="Z595" s="624"/>
      <c r="AB595" s="630"/>
      <c r="AC595" s="630"/>
      <c r="AD595" s="630"/>
      <c r="AE595" s="630"/>
      <c r="AF595" s="630"/>
      <c r="AG595" s="630"/>
    </row>
    <row r="596" spans="1:33">
      <c r="A596" s="628"/>
      <c r="B596" s="628"/>
      <c r="C596" s="630"/>
      <c r="D596" s="628"/>
      <c r="E596" s="630"/>
      <c r="F596" s="629"/>
      <c r="G596" s="635"/>
      <c r="H596" s="624"/>
      <c r="I596" s="630"/>
      <c r="K596" s="633"/>
      <c r="M596" s="634"/>
      <c r="O596" s="769"/>
      <c r="Q596" s="627"/>
      <c r="R596" s="634"/>
      <c r="T596" s="624"/>
      <c r="W596" s="623"/>
      <c r="X596" s="623"/>
      <c r="Y596" s="633"/>
      <c r="Z596" s="624"/>
      <c r="AB596" s="630"/>
      <c r="AC596" s="630"/>
      <c r="AD596" s="630"/>
      <c r="AE596" s="630"/>
      <c r="AF596" s="630"/>
      <c r="AG596" s="630"/>
    </row>
    <row r="597" spans="1:33">
      <c r="A597" s="628"/>
      <c r="B597" s="628"/>
      <c r="C597" s="630"/>
      <c r="D597" s="628"/>
      <c r="E597" s="630"/>
      <c r="F597" s="629"/>
      <c r="G597" s="635"/>
      <c r="H597" s="624"/>
      <c r="I597" s="630"/>
      <c r="K597" s="633"/>
      <c r="M597" s="634"/>
      <c r="O597" s="769"/>
      <c r="Q597" s="627"/>
      <c r="R597" s="634"/>
      <c r="T597" s="624"/>
      <c r="W597" s="623"/>
      <c r="X597" s="623"/>
      <c r="Y597" s="633"/>
      <c r="Z597" s="624"/>
      <c r="AB597" s="630"/>
      <c r="AC597" s="630"/>
      <c r="AD597" s="630"/>
      <c r="AE597" s="630"/>
      <c r="AF597" s="630"/>
      <c r="AG597" s="630"/>
    </row>
    <row r="598" spans="1:33">
      <c r="A598" s="628"/>
      <c r="B598" s="628"/>
      <c r="C598" s="630"/>
      <c r="D598" s="628"/>
      <c r="E598" s="630"/>
      <c r="F598" s="629"/>
      <c r="G598" s="635"/>
      <c r="H598" s="624"/>
      <c r="I598" s="630"/>
      <c r="K598" s="633"/>
      <c r="M598" s="634"/>
      <c r="O598" s="769"/>
      <c r="Q598" s="627"/>
      <c r="R598" s="634"/>
      <c r="T598" s="624"/>
      <c r="W598" s="623"/>
      <c r="X598" s="623"/>
      <c r="Y598" s="633"/>
      <c r="Z598" s="624"/>
      <c r="AB598" s="630"/>
      <c r="AC598" s="630"/>
      <c r="AD598" s="630"/>
      <c r="AE598" s="630"/>
      <c r="AF598" s="630"/>
      <c r="AG598" s="630"/>
    </row>
    <row r="599" spans="1:33">
      <c r="A599" s="628"/>
      <c r="B599" s="628"/>
      <c r="C599" s="630"/>
      <c r="D599" s="628"/>
      <c r="E599" s="630"/>
      <c r="F599" s="629"/>
      <c r="G599" s="635"/>
      <c r="H599" s="624"/>
      <c r="I599" s="630"/>
      <c r="K599" s="633"/>
      <c r="M599" s="634"/>
      <c r="O599" s="769"/>
      <c r="Q599" s="627"/>
      <c r="R599" s="634"/>
      <c r="T599" s="624"/>
      <c r="W599" s="623"/>
      <c r="X599" s="623"/>
      <c r="Y599" s="633"/>
      <c r="Z599" s="624"/>
      <c r="AB599" s="630"/>
      <c r="AC599" s="630"/>
      <c r="AD599" s="630"/>
      <c r="AE599" s="630"/>
      <c r="AF599" s="630"/>
      <c r="AG599" s="630"/>
    </row>
    <row r="600" spans="1:33">
      <c r="A600" s="628"/>
      <c r="B600" s="628"/>
      <c r="C600" s="630"/>
      <c r="D600" s="628"/>
      <c r="E600" s="630"/>
      <c r="F600" s="629"/>
      <c r="G600" s="635"/>
      <c r="H600" s="624"/>
      <c r="I600" s="630"/>
      <c r="K600" s="633"/>
      <c r="M600" s="634"/>
      <c r="O600" s="769"/>
      <c r="Q600" s="627"/>
      <c r="R600" s="634"/>
      <c r="T600" s="624"/>
      <c r="W600" s="623"/>
      <c r="X600" s="623"/>
      <c r="Y600" s="633"/>
      <c r="Z600" s="624"/>
      <c r="AB600" s="630"/>
      <c r="AC600" s="630"/>
      <c r="AD600" s="630"/>
      <c r="AE600" s="630"/>
      <c r="AF600" s="630"/>
      <c r="AG600" s="630"/>
    </row>
    <row r="601" spans="1:33">
      <c r="A601" s="628"/>
      <c r="B601" s="628"/>
      <c r="C601" s="630"/>
      <c r="D601" s="628"/>
      <c r="E601" s="630"/>
      <c r="F601" s="629"/>
      <c r="G601" s="635"/>
      <c r="H601" s="624"/>
      <c r="I601" s="630"/>
      <c r="K601" s="633"/>
      <c r="M601" s="634"/>
      <c r="O601" s="769"/>
      <c r="Q601" s="627"/>
      <c r="R601" s="634"/>
      <c r="T601" s="624"/>
      <c r="W601" s="623"/>
      <c r="X601" s="623"/>
      <c r="Y601" s="633"/>
      <c r="Z601" s="624"/>
      <c r="AB601" s="630"/>
      <c r="AC601" s="630"/>
      <c r="AD601" s="630"/>
      <c r="AE601" s="630"/>
      <c r="AF601" s="630"/>
      <c r="AG601" s="630"/>
    </row>
    <row r="602" spans="1:33">
      <c r="A602" s="628"/>
      <c r="B602" s="628"/>
      <c r="C602" s="630"/>
      <c r="D602" s="628"/>
      <c r="E602" s="630"/>
      <c r="F602" s="629"/>
      <c r="G602" s="635"/>
      <c r="H602" s="624"/>
      <c r="I602" s="630"/>
      <c r="K602" s="633"/>
      <c r="M602" s="634"/>
      <c r="O602" s="769"/>
      <c r="Q602" s="627"/>
      <c r="R602" s="634"/>
      <c r="T602" s="624"/>
      <c r="W602" s="623"/>
      <c r="X602" s="623"/>
      <c r="Y602" s="633"/>
      <c r="Z602" s="624"/>
      <c r="AB602" s="630"/>
      <c r="AC602" s="630"/>
      <c r="AD602" s="630"/>
      <c r="AE602" s="630"/>
      <c r="AF602" s="630"/>
      <c r="AG602" s="630"/>
    </row>
    <row r="603" spans="1:33">
      <c r="A603" s="628"/>
      <c r="B603" s="628"/>
      <c r="C603" s="630"/>
      <c r="D603" s="628"/>
      <c r="E603" s="630"/>
      <c r="F603" s="629"/>
      <c r="G603" s="635"/>
      <c r="H603" s="624"/>
      <c r="I603" s="630"/>
      <c r="K603" s="633"/>
      <c r="M603" s="634"/>
      <c r="O603" s="769"/>
      <c r="Q603" s="627"/>
      <c r="R603" s="634"/>
      <c r="T603" s="624"/>
      <c r="W603" s="623"/>
      <c r="X603" s="623"/>
      <c r="Y603" s="633"/>
      <c r="Z603" s="624"/>
      <c r="AB603" s="630"/>
      <c r="AC603" s="630"/>
      <c r="AD603" s="630"/>
      <c r="AE603" s="630"/>
      <c r="AF603" s="630"/>
      <c r="AG603" s="630"/>
    </row>
    <row r="604" spans="1:33">
      <c r="A604" s="628"/>
      <c r="B604" s="628"/>
      <c r="C604" s="630"/>
      <c r="D604" s="628"/>
      <c r="E604" s="630"/>
      <c r="F604" s="629"/>
      <c r="G604" s="635"/>
      <c r="H604" s="624"/>
      <c r="I604" s="630"/>
      <c r="K604" s="633"/>
      <c r="M604" s="634"/>
      <c r="O604" s="769"/>
      <c r="Q604" s="627"/>
      <c r="R604" s="634"/>
      <c r="T604" s="624"/>
      <c r="W604" s="623"/>
      <c r="X604" s="623"/>
      <c r="Y604" s="633"/>
      <c r="Z604" s="624"/>
      <c r="AB604" s="630"/>
      <c r="AC604" s="630"/>
      <c r="AD604" s="630"/>
      <c r="AE604" s="630"/>
      <c r="AF604" s="630"/>
      <c r="AG604" s="630"/>
    </row>
    <row r="605" spans="1:33">
      <c r="A605" s="628"/>
      <c r="B605" s="628"/>
      <c r="C605" s="630"/>
      <c r="D605" s="628"/>
      <c r="E605" s="630"/>
      <c r="F605" s="629"/>
      <c r="G605" s="635"/>
      <c r="H605" s="624"/>
      <c r="I605" s="630"/>
      <c r="K605" s="633"/>
      <c r="M605" s="634"/>
      <c r="O605" s="769"/>
      <c r="Q605" s="627"/>
      <c r="R605" s="634"/>
      <c r="T605" s="624"/>
      <c r="W605" s="623"/>
      <c r="X605" s="623"/>
      <c r="Y605" s="633"/>
      <c r="Z605" s="624"/>
      <c r="AB605" s="630"/>
      <c r="AC605" s="630"/>
      <c r="AD605" s="630"/>
      <c r="AE605" s="630"/>
      <c r="AF605" s="630"/>
      <c r="AG605" s="630"/>
    </row>
    <row r="606" spans="1:33">
      <c r="A606" s="628"/>
      <c r="B606" s="628"/>
      <c r="C606" s="630"/>
      <c r="D606" s="628"/>
      <c r="E606" s="630"/>
      <c r="F606" s="629"/>
      <c r="G606" s="635"/>
      <c r="H606" s="624"/>
      <c r="I606" s="630"/>
      <c r="K606" s="633"/>
      <c r="M606" s="634"/>
      <c r="O606" s="769"/>
      <c r="Q606" s="627"/>
      <c r="R606" s="634"/>
      <c r="T606" s="624"/>
      <c r="W606" s="623"/>
      <c r="X606" s="623"/>
      <c r="Y606" s="633"/>
      <c r="Z606" s="624"/>
      <c r="AB606" s="630"/>
      <c r="AC606" s="630"/>
      <c r="AD606" s="630"/>
      <c r="AE606" s="630"/>
      <c r="AF606" s="630"/>
      <c r="AG606" s="630"/>
    </row>
    <row r="607" spans="1:33">
      <c r="A607" s="628"/>
      <c r="B607" s="628"/>
      <c r="C607" s="630"/>
      <c r="D607" s="628"/>
      <c r="E607" s="630"/>
      <c r="F607" s="629"/>
      <c r="G607" s="635"/>
      <c r="H607" s="624"/>
      <c r="I607" s="630"/>
      <c r="K607" s="633"/>
      <c r="M607" s="634"/>
      <c r="O607" s="769"/>
      <c r="Q607" s="627"/>
      <c r="R607" s="634"/>
      <c r="T607" s="624"/>
      <c r="W607" s="623"/>
      <c r="X607" s="623"/>
      <c r="Y607" s="633"/>
      <c r="Z607" s="624"/>
      <c r="AB607" s="630"/>
      <c r="AC607" s="630"/>
      <c r="AD607" s="630"/>
      <c r="AE607" s="630"/>
      <c r="AF607" s="630"/>
      <c r="AG607" s="630"/>
    </row>
    <row r="608" spans="1:33">
      <c r="A608" s="628"/>
      <c r="B608" s="628"/>
      <c r="C608" s="630"/>
      <c r="D608" s="628"/>
      <c r="E608" s="630"/>
      <c r="F608" s="629"/>
      <c r="G608" s="635"/>
      <c r="H608" s="624"/>
      <c r="I608" s="630"/>
      <c r="K608" s="633"/>
      <c r="M608" s="634"/>
      <c r="O608" s="769"/>
      <c r="Q608" s="627"/>
      <c r="R608" s="634"/>
      <c r="T608" s="624"/>
      <c r="W608" s="623"/>
      <c r="X608" s="623"/>
      <c r="Y608" s="633"/>
      <c r="Z608" s="624"/>
      <c r="AB608" s="630"/>
      <c r="AC608" s="630"/>
      <c r="AD608" s="630"/>
      <c r="AE608" s="630"/>
      <c r="AF608" s="630"/>
      <c r="AG608" s="630"/>
    </row>
    <row r="609" spans="1:33">
      <c r="A609" s="628"/>
      <c r="B609" s="628"/>
      <c r="C609" s="630"/>
      <c r="D609" s="628"/>
      <c r="E609" s="630"/>
      <c r="F609" s="629"/>
      <c r="G609" s="635"/>
      <c r="H609" s="624"/>
      <c r="I609" s="630"/>
      <c r="K609" s="633"/>
      <c r="M609" s="634"/>
      <c r="O609" s="769"/>
      <c r="Q609" s="627"/>
      <c r="R609" s="634"/>
      <c r="T609" s="624"/>
      <c r="W609" s="623"/>
      <c r="X609" s="623"/>
      <c r="Y609" s="633"/>
      <c r="Z609" s="624"/>
      <c r="AB609" s="630"/>
      <c r="AC609" s="630"/>
      <c r="AD609" s="630"/>
      <c r="AE609" s="630"/>
      <c r="AF609" s="630"/>
      <c r="AG609" s="630"/>
    </row>
    <row r="610" spans="1:33">
      <c r="A610" s="628"/>
      <c r="B610" s="628"/>
      <c r="C610" s="630"/>
      <c r="D610" s="628"/>
      <c r="E610" s="630"/>
      <c r="F610" s="629"/>
      <c r="G610" s="635"/>
      <c r="H610" s="624"/>
      <c r="I610" s="630"/>
      <c r="K610" s="633"/>
      <c r="M610" s="634"/>
      <c r="O610" s="769"/>
      <c r="Q610" s="627"/>
      <c r="R610" s="634"/>
      <c r="T610" s="624"/>
      <c r="W610" s="623"/>
      <c r="X610" s="623"/>
      <c r="Y610" s="633"/>
      <c r="Z610" s="624"/>
      <c r="AB610" s="630"/>
      <c r="AC610" s="630"/>
      <c r="AD610" s="630"/>
      <c r="AE610" s="630"/>
      <c r="AF610" s="630"/>
      <c r="AG610" s="630"/>
    </row>
    <row r="611" spans="1:33">
      <c r="A611" s="628"/>
      <c r="B611" s="628"/>
      <c r="C611" s="630"/>
      <c r="D611" s="628"/>
      <c r="E611" s="630"/>
      <c r="F611" s="629"/>
      <c r="G611" s="635"/>
      <c r="H611" s="624"/>
      <c r="I611" s="630"/>
      <c r="K611" s="633"/>
      <c r="M611" s="634"/>
      <c r="O611" s="769"/>
      <c r="Q611" s="627"/>
      <c r="R611" s="634"/>
      <c r="T611" s="624"/>
      <c r="W611" s="623"/>
      <c r="X611" s="623"/>
      <c r="Y611" s="633"/>
      <c r="Z611" s="624"/>
      <c r="AB611" s="630"/>
      <c r="AC611" s="630"/>
      <c r="AD611" s="630"/>
      <c r="AE611" s="630"/>
      <c r="AF611" s="630"/>
      <c r="AG611" s="630"/>
    </row>
    <row r="612" spans="1:33">
      <c r="A612" s="628"/>
      <c r="B612" s="628"/>
      <c r="C612" s="630"/>
      <c r="D612" s="628"/>
      <c r="E612" s="630"/>
      <c r="F612" s="629"/>
      <c r="G612" s="635"/>
      <c r="H612" s="624"/>
      <c r="I612" s="630"/>
      <c r="K612" s="633"/>
      <c r="M612" s="634"/>
      <c r="O612" s="769"/>
      <c r="Q612" s="627"/>
      <c r="R612" s="634"/>
      <c r="T612" s="624"/>
      <c r="W612" s="623"/>
      <c r="X612" s="623"/>
      <c r="Y612" s="633"/>
      <c r="Z612" s="624"/>
      <c r="AB612" s="630"/>
      <c r="AC612" s="630"/>
      <c r="AD612" s="630"/>
      <c r="AE612" s="630"/>
      <c r="AF612" s="630"/>
      <c r="AG612" s="630"/>
    </row>
    <row r="613" spans="1:33">
      <c r="A613" s="628"/>
      <c r="B613" s="628"/>
      <c r="C613" s="630"/>
      <c r="D613" s="628"/>
      <c r="E613" s="630"/>
      <c r="F613" s="629"/>
      <c r="G613" s="635"/>
      <c r="H613" s="624"/>
      <c r="I613" s="630"/>
      <c r="K613" s="633"/>
      <c r="M613" s="634"/>
      <c r="O613" s="769"/>
      <c r="Q613" s="627"/>
      <c r="R613" s="634"/>
      <c r="T613" s="624"/>
      <c r="W613" s="623"/>
      <c r="X613" s="623"/>
      <c r="Y613" s="633"/>
      <c r="Z613" s="624"/>
      <c r="AB613" s="630"/>
      <c r="AC613" s="630"/>
      <c r="AD613" s="630"/>
      <c r="AE613" s="630"/>
      <c r="AF613" s="630"/>
      <c r="AG613" s="630"/>
    </row>
    <row r="614" spans="1:33">
      <c r="A614" s="628"/>
      <c r="B614" s="628"/>
      <c r="C614" s="630"/>
      <c r="D614" s="628"/>
      <c r="E614" s="630"/>
      <c r="F614" s="629"/>
      <c r="G614" s="635"/>
      <c r="H614" s="624"/>
      <c r="I614" s="630"/>
      <c r="K614" s="633"/>
      <c r="M614" s="634"/>
      <c r="O614" s="769"/>
      <c r="Q614" s="627"/>
      <c r="R614" s="634"/>
      <c r="T614" s="624"/>
      <c r="W614" s="623"/>
      <c r="X614" s="623"/>
      <c r="Y614" s="633"/>
      <c r="Z614" s="624"/>
      <c r="AB614" s="630"/>
      <c r="AC614" s="630"/>
      <c r="AD614" s="630"/>
      <c r="AE614" s="630"/>
      <c r="AF614" s="630"/>
      <c r="AG614" s="630"/>
    </row>
    <row r="615" spans="1:33">
      <c r="A615" s="628"/>
      <c r="B615" s="628"/>
      <c r="C615" s="630"/>
      <c r="D615" s="628"/>
      <c r="E615" s="630"/>
      <c r="F615" s="629"/>
      <c r="G615" s="635"/>
      <c r="H615" s="624"/>
      <c r="I615" s="630"/>
      <c r="K615" s="633"/>
      <c r="M615" s="634"/>
      <c r="O615" s="769"/>
      <c r="Q615" s="627"/>
      <c r="R615" s="634"/>
      <c r="T615" s="624"/>
      <c r="W615" s="623"/>
      <c r="X615" s="623"/>
      <c r="Y615" s="633"/>
      <c r="Z615" s="624"/>
      <c r="AB615" s="630"/>
      <c r="AC615" s="630"/>
      <c r="AD615" s="630"/>
      <c r="AE615" s="630"/>
      <c r="AF615" s="630"/>
      <c r="AG615" s="630"/>
    </row>
    <row r="616" spans="1:33">
      <c r="A616" s="628"/>
      <c r="B616" s="628"/>
      <c r="C616" s="630"/>
      <c r="D616" s="628"/>
      <c r="E616" s="630"/>
      <c r="F616" s="629"/>
      <c r="G616" s="635"/>
      <c r="H616" s="624"/>
      <c r="I616" s="630"/>
      <c r="K616" s="633"/>
      <c r="M616" s="634"/>
      <c r="O616" s="769"/>
      <c r="Q616" s="627"/>
      <c r="R616" s="634"/>
      <c r="T616" s="624"/>
      <c r="W616" s="623"/>
      <c r="X616" s="623"/>
      <c r="Y616" s="633"/>
      <c r="Z616" s="624"/>
      <c r="AB616" s="630"/>
      <c r="AC616" s="630"/>
      <c r="AD616" s="630"/>
      <c r="AE616" s="630"/>
      <c r="AF616" s="630"/>
      <c r="AG616" s="630"/>
    </row>
    <row r="617" spans="1:33">
      <c r="A617" s="628"/>
      <c r="B617" s="628"/>
      <c r="C617" s="630"/>
      <c r="D617" s="628"/>
      <c r="E617" s="630"/>
      <c r="F617" s="629"/>
      <c r="G617" s="635"/>
      <c r="H617" s="624"/>
      <c r="I617" s="630"/>
      <c r="K617" s="633"/>
      <c r="M617" s="634"/>
      <c r="O617" s="769"/>
      <c r="Q617" s="627"/>
      <c r="R617" s="634"/>
      <c r="T617" s="624"/>
      <c r="W617" s="623"/>
      <c r="X617" s="623"/>
      <c r="Y617" s="633"/>
      <c r="Z617" s="624"/>
      <c r="AB617" s="630"/>
      <c r="AC617" s="630"/>
      <c r="AD617" s="630"/>
      <c r="AE617" s="630"/>
      <c r="AF617" s="630"/>
      <c r="AG617" s="630"/>
    </row>
    <row r="618" spans="1:33">
      <c r="A618" s="628"/>
      <c r="B618" s="628"/>
      <c r="C618" s="630"/>
      <c r="D618" s="628"/>
      <c r="E618" s="630"/>
      <c r="F618" s="629"/>
      <c r="G618" s="635"/>
      <c r="H618" s="624"/>
      <c r="I618" s="630"/>
      <c r="K618" s="633"/>
      <c r="M618" s="634"/>
      <c r="O618" s="769"/>
      <c r="Q618" s="627"/>
      <c r="R618" s="634"/>
      <c r="T618" s="624"/>
      <c r="W618" s="623"/>
      <c r="X618" s="623"/>
      <c r="Y618" s="633"/>
      <c r="Z618" s="624"/>
      <c r="AB618" s="630"/>
      <c r="AC618" s="630"/>
      <c r="AD618" s="630"/>
      <c r="AE618" s="630"/>
      <c r="AF618" s="630"/>
      <c r="AG618" s="630"/>
    </row>
    <row r="619" spans="1:33">
      <c r="A619" s="628"/>
      <c r="B619" s="628"/>
      <c r="C619" s="630"/>
      <c r="D619" s="628"/>
      <c r="E619" s="630"/>
      <c r="F619" s="629"/>
      <c r="G619" s="635"/>
      <c r="H619" s="624"/>
      <c r="I619" s="630"/>
      <c r="K619" s="633"/>
      <c r="M619" s="634"/>
      <c r="O619" s="769"/>
      <c r="Q619" s="627"/>
      <c r="R619" s="634"/>
      <c r="T619" s="624"/>
      <c r="W619" s="623"/>
      <c r="X619" s="623"/>
      <c r="Y619" s="633"/>
      <c r="Z619" s="624"/>
      <c r="AB619" s="630"/>
      <c r="AC619" s="630"/>
      <c r="AD619" s="630"/>
      <c r="AE619" s="630"/>
      <c r="AF619" s="630"/>
      <c r="AG619" s="630"/>
    </row>
    <row r="620" spans="1:33">
      <c r="A620" s="628"/>
      <c r="B620" s="628"/>
      <c r="C620" s="630"/>
      <c r="D620" s="628"/>
      <c r="E620" s="630"/>
      <c r="F620" s="629"/>
      <c r="G620" s="635"/>
      <c r="H620" s="624"/>
      <c r="I620" s="630"/>
      <c r="K620" s="633"/>
      <c r="M620" s="634"/>
      <c r="O620" s="769"/>
      <c r="Q620" s="627"/>
      <c r="R620" s="634"/>
      <c r="T620" s="624"/>
      <c r="W620" s="623"/>
      <c r="X620" s="623"/>
      <c r="Y620" s="633"/>
      <c r="Z620" s="624"/>
      <c r="AB620" s="630"/>
      <c r="AC620" s="630"/>
      <c r="AD620" s="630"/>
      <c r="AE620" s="630"/>
      <c r="AF620" s="630"/>
      <c r="AG620" s="630"/>
    </row>
    <row r="621" spans="1:33">
      <c r="A621" s="628"/>
      <c r="B621" s="628"/>
      <c r="C621" s="630"/>
      <c r="D621" s="628"/>
      <c r="E621" s="630"/>
      <c r="F621" s="629"/>
      <c r="G621" s="635"/>
      <c r="H621" s="624"/>
      <c r="I621" s="630"/>
      <c r="K621" s="633"/>
      <c r="M621" s="634"/>
      <c r="O621" s="769"/>
      <c r="Q621" s="627"/>
      <c r="R621" s="634"/>
      <c r="T621" s="624"/>
      <c r="W621" s="623"/>
      <c r="X621" s="623"/>
      <c r="Y621" s="633"/>
      <c r="Z621" s="624"/>
      <c r="AB621" s="630"/>
      <c r="AC621" s="630"/>
      <c r="AD621" s="630"/>
      <c r="AE621" s="630"/>
      <c r="AF621" s="630"/>
      <c r="AG621" s="630"/>
    </row>
    <row r="622" spans="1:33">
      <c r="A622" s="628"/>
      <c r="B622" s="628"/>
      <c r="C622" s="630"/>
      <c r="D622" s="628"/>
      <c r="E622" s="630"/>
      <c r="F622" s="629"/>
      <c r="G622" s="635"/>
      <c r="H622" s="624"/>
      <c r="I622" s="630"/>
      <c r="K622" s="633"/>
      <c r="M622" s="634"/>
      <c r="O622" s="769"/>
      <c r="Q622" s="627"/>
      <c r="R622" s="634"/>
      <c r="T622" s="624"/>
      <c r="W622" s="623"/>
      <c r="X622" s="623"/>
      <c r="Y622" s="633"/>
      <c r="Z622" s="624"/>
      <c r="AB622" s="630"/>
      <c r="AC622" s="630"/>
      <c r="AD622" s="630"/>
      <c r="AE622" s="630"/>
      <c r="AF622" s="630"/>
      <c r="AG622" s="630"/>
    </row>
    <row r="623" spans="1:33">
      <c r="A623" s="628"/>
      <c r="B623" s="628"/>
      <c r="C623" s="630"/>
      <c r="D623" s="628"/>
      <c r="E623" s="630"/>
      <c r="F623" s="629"/>
      <c r="G623" s="635"/>
      <c r="H623" s="624"/>
      <c r="I623" s="630"/>
      <c r="K623" s="633"/>
      <c r="M623" s="634"/>
      <c r="O623" s="769"/>
      <c r="Q623" s="627"/>
      <c r="R623" s="634"/>
      <c r="T623" s="624"/>
      <c r="W623" s="623"/>
      <c r="X623" s="623"/>
      <c r="Y623" s="633"/>
      <c r="Z623" s="624"/>
      <c r="AB623" s="630"/>
      <c r="AC623" s="630"/>
      <c r="AD623" s="630"/>
      <c r="AE623" s="630"/>
      <c r="AF623" s="630"/>
      <c r="AG623" s="630"/>
    </row>
    <row r="624" spans="1:33">
      <c r="A624" s="628"/>
      <c r="B624" s="628"/>
      <c r="C624" s="630"/>
      <c r="D624" s="628"/>
      <c r="E624" s="630"/>
      <c r="F624" s="629"/>
      <c r="G624" s="635"/>
      <c r="H624" s="624"/>
      <c r="I624" s="630"/>
      <c r="K624" s="633"/>
      <c r="M624" s="634"/>
      <c r="O624" s="769"/>
      <c r="Q624" s="627"/>
      <c r="R624" s="634"/>
      <c r="T624" s="624"/>
      <c r="W624" s="623"/>
      <c r="X624" s="623"/>
      <c r="Y624" s="633"/>
      <c r="Z624" s="624"/>
      <c r="AB624" s="630"/>
      <c r="AC624" s="630"/>
      <c r="AD624" s="630"/>
      <c r="AE624" s="630"/>
      <c r="AF624" s="630"/>
      <c r="AG624" s="630"/>
    </row>
    <row r="625" spans="1:33">
      <c r="A625" s="628"/>
      <c r="B625" s="628"/>
      <c r="C625" s="630"/>
      <c r="D625" s="628"/>
      <c r="E625" s="630"/>
      <c r="F625" s="629"/>
      <c r="G625" s="635"/>
      <c r="H625" s="624"/>
      <c r="I625" s="630"/>
      <c r="K625" s="633"/>
      <c r="M625" s="634"/>
      <c r="O625" s="769"/>
      <c r="Q625" s="627"/>
      <c r="R625" s="634"/>
      <c r="T625" s="624"/>
      <c r="W625" s="623"/>
      <c r="X625" s="623"/>
      <c r="Y625" s="633"/>
      <c r="Z625" s="624"/>
      <c r="AB625" s="630"/>
      <c r="AC625" s="630"/>
      <c r="AD625" s="630"/>
      <c r="AE625" s="630"/>
      <c r="AF625" s="630"/>
      <c r="AG625" s="630"/>
    </row>
    <row r="626" spans="1:33">
      <c r="A626" s="628"/>
      <c r="B626" s="628"/>
      <c r="C626" s="630"/>
      <c r="D626" s="628"/>
      <c r="E626" s="630"/>
      <c r="F626" s="629"/>
      <c r="G626" s="635"/>
      <c r="H626" s="624"/>
      <c r="I626" s="630"/>
      <c r="K626" s="633"/>
      <c r="M626" s="634"/>
      <c r="O626" s="769"/>
      <c r="Q626" s="627"/>
      <c r="R626" s="634"/>
      <c r="T626" s="624"/>
      <c r="W626" s="623"/>
      <c r="X626" s="623"/>
      <c r="Y626" s="633"/>
      <c r="Z626" s="624"/>
      <c r="AB626" s="630"/>
      <c r="AC626" s="630"/>
      <c r="AD626" s="630"/>
      <c r="AE626" s="630"/>
      <c r="AF626" s="630"/>
      <c r="AG626" s="630"/>
    </row>
    <row r="627" spans="1:33">
      <c r="A627" s="628"/>
      <c r="B627" s="628"/>
      <c r="C627" s="630"/>
      <c r="D627" s="628"/>
      <c r="E627" s="630"/>
      <c r="F627" s="629"/>
      <c r="G627" s="635"/>
      <c r="H627" s="624"/>
      <c r="I627" s="630"/>
      <c r="K627" s="633"/>
      <c r="M627" s="634"/>
      <c r="O627" s="769"/>
      <c r="Q627" s="627"/>
      <c r="R627" s="634"/>
      <c r="T627" s="624"/>
      <c r="W627" s="623"/>
      <c r="X627" s="623"/>
      <c r="Y627" s="633"/>
      <c r="Z627" s="624"/>
      <c r="AB627" s="630"/>
      <c r="AC627" s="630"/>
      <c r="AD627" s="630"/>
      <c r="AE627" s="630"/>
      <c r="AF627" s="630"/>
      <c r="AG627" s="630"/>
    </row>
    <row r="628" spans="1:33">
      <c r="A628" s="628"/>
      <c r="B628" s="628"/>
      <c r="C628" s="630"/>
      <c r="D628" s="628"/>
      <c r="E628" s="630"/>
      <c r="F628" s="629"/>
      <c r="G628" s="635"/>
      <c r="H628" s="624"/>
      <c r="I628" s="630"/>
      <c r="K628" s="633"/>
      <c r="M628" s="634"/>
      <c r="O628" s="769"/>
      <c r="Q628" s="627"/>
      <c r="R628" s="634"/>
      <c r="T628" s="624"/>
      <c r="W628" s="623"/>
      <c r="X628" s="623"/>
      <c r="Y628" s="633"/>
      <c r="Z628" s="624"/>
      <c r="AB628" s="630"/>
      <c r="AC628" s="630"/>
      <c r="AD628" s="630"/>
      <c r="AE628" s="630"/>
      <c r="AF628" s="630"/>
      <c r="AG628" s="630"/>
    </row>
    <row r="629" spans="1:33">
      <c r="A629" s="628"/>
      <c r="B629" s="628"/>
      <c r="C629" s="630"/>
      <c r="D629" s="628"/>
      <c r="E629" s="630"/>
      <c r="F629" s="629"/>
      <c r="G629" s="635"/>
      <c r="H629" s="624"/>
      <c r="I629" s="630"/>
      <c r="K629" s="633"/>
      <c r="M629" s="634"/>
      <c r="O629" s="769"/>
      <c r="Q629" s="627"/>
      <c r="R629" s="634"/>
      <c r="T629" s="624"/>
      <c r="W629" s="623"/>
      <c r="X629" s="623"/>
      <c r="Y629" s="633"/>
      <c r="Z629" s="624"/>
      <c r="AB629" s="630"/>
      <c r="AC629" s="630"/>
      <c r="AD629" s="630"/>
      <c r="AE629" s="630"/>
      <c r="AF629" s="630"/>
      <c r="AG629" s="630"/>
    </row>
    <row r="630" spans="1:33">
      <c r="A630" s="628"/>
      <c r="B630" s="628"/>
      <c r="C630" s="630"/>
      <c r="D630" s="628"/>
      <c r="E630" s="630"/>
      <c r="F630" s="629"/>
      <c r="G630" s="635"/>
      <c r="H630" s="624"/>
      <c r="I630" s="630"/>
      <c r="K630" s="633"/>
      <c r="M630" s="634"/>
      <c r="O630" s="769"/>
      <c r="Q630" s="627"/>
      <c r="R630" s="634"/>
      <c r="T630" s="624"/>
      <c r="W630" s="623"/>
      <c r="X630" s="623"/>
      <c r="Y630" s="633"/>
      <c r="Z630" s="624"/>
      <c r="AB630" s="630"/>
      <c r="AC630" s="630"/>
      <c r="AD630" s="630"/>
      <c r="AE630" s="630"/>
      <c r="AF630" s="630"/>
      <c r="AG630" s="630"/>
    </row>
    <row r="631" spans="1:33">
      <c r="A631" s="628"/>
      <c r="B631" s="628"/>
      <c r="C631" s="630"/>
      <c r="D631" s="628"/>
      <c r="E631" s="630"/>
      <c r="F631" s="629"/>
      <c r="G631" s="635"/>
      <c r="H631" s="624"/>
      <c r="I631" s="630"/>
      <c r="K631" s="633"/>
      <c r="M631" s="634"/>
      <c r="O631" s="769"/>
      <c r="Q631" s="627"/>
      <c r="R631" s="634"/>
      <c r="T631" s="624"/>
      <c r="W631" s="623"/>
      <c r="X631" s="623"/>
      <c r="Y631" s="633"/>
      <c r="Z631" s="624"/>
      <c r="AB631" s="630"/>
      <c r="AC631" s="630"/>
      <c r="AD631" s="630"/>
      <c r="AE631" s="630"/>
      <c r="AF631" s="630"/>
      <c r="AG631" s="630"/>
    </row>
    <row r="632" spans="1:33">
      <c r="A632" s="628"/>
      <c r="B632" s="628"/>
      <c r="C632" s="630"/>
      <c r="D632" s="628"/>
      <c r="E632" s="630"/>
      <c r="F632" s="629"/>
      <c r="G632" s="635"/>
      <c r="H632" s="624"/>
      <c r="I632" s="630"/>
      <c r="K632" s="633"/>
      <c r="M632" s="634"/>
      <c r="O632" s="769"/>
      <c r="Q632" s="627"/>
      <c r="R632" s="634"/>
      <c r="T632" s="624"/>
      <c r="W632" s="623"/>
      <c r="X632" s="623"/>
      <c r="Y632" s="633"/>
      <c r="Z632" s="624"/>
      <c r="AB632" s="630"/>
      <c r="AC632" s="630"/>
      <c r="AD632" s="630"/>
      <c r="AE632" s="630"/>
      <c r="AF632" s="630"/>
      <c r="AG632" s="630"/>
    </row>
    <row r="633" spans="1:33">
      <c r="A633" s="628"/>
      <c r="B633" s="628"/>
      <c r="C633" s="630"/>
      <c r="D633" s="628"/>
      <c r="E633" s="630"/>
      <c r="F633" s="629"/>
      <c r="G633" s="635"/>
      <c r="H633" s="624"/>
      <c r="I633" s="630"/>
      <c r="K633" s="633"/>
      <c r="M633" s="634"/>
      <c r="O633" s="769"/>
      <c r="Q633" s="627"/>
      <c r="R633" s="634"/>
      <c r="T633" s="624"/>
      <c r="W633" s="623"/>
      <c r="X633" s="623"/>
      <c r="Y633" s="633"/>
      <c r="Z633" s="624"/>
      <c r="AB633" s="630"/>
      <c r="AC633" s="630"/>
      <c r="AD633" s="630"/>
      <c r="AE633" s="630"/>
      <c r="AF633" s="630"/>
      <c r="AG633" s="630"/>
    </row>
    <row r="634" spans="1:33">
      <c r="A634" s="628"/>
      <c r="B634" s="628"/>
      <c r="C634" s="630"/>
      <c r="D634" s="628"/>
      <c r="E634" s="630"/>
      <c r="F634" s="629"/>
      <c r="G634" s="635"/>
      <c r="H634" s="624"/>
      <c r="I634" s="630"/>
      <c r="K634" s="633"/>
      <c r="M634" s="634"/>
      <c r="O634" s="769"/>
      <c r="Q634" s="627"/>
      <c r="R634" s="634"/>
      <c r="T634" s="624"/>
      <c r="W634" s="623"/>
      <c r="X634" s="623"/>
      <c r="Y634" s="633"/>
      <c r="Z634" s="624"/>
      <c r="AB634" s="630"/>
      <c r="AC634" s="630"/>
      <c r="AD634" s="630"/>
      <c r="AE634" s="630"/>
      <c r="AF634" s="630"/>
      <c r="AG634" s="630"/>
    </row>
    <row r="635" spans="1:33">
      <c r="A635" s="628"/>
      <c r="B635" s="628"/>
      <c r="C635" s="630"/>
      <c r="D635" s="628"/>
      <c r="E635" s="630"/>
      <c r="F635" s="629"/>
      <c r="G635" s="635"/>
      <c r="H635" s="624"/>
      <c r="I635" s="630"/>
      <c r="K635" s="633"/>
      <c r="M635" s="634"/>
      <c r="O635" s="769"/>
      <c r="Q635" s="627"/>
      <c r="R635" s="634"/>
      <c r="T635" s="624"/>
      <c r="W635" s="623"/>
      <c r="X635" s="623"/>
      <c r="Y635" s="633"/>
      <c r="Z635" s="624"/>
      <c r="AB635" s="630"/>
      <c r="AC635" s="630"/>
      <c r="AD635" s="630"/>
      <c r="AE635" s="630"/>
      <c r="AF635" s="630"/>
      <c r="AG635" s="630"/>
    </row>
    <row r="636" spans="1:33">
      <c r="A636" s="628"/>
      <c r="B636" s="628"/>
      <c r="C636" s="630"/>
      <c r="D636" s="628"/>
      <c r="E636" s="630"/>
      <c r="F636" s="629"/>
      <c r="G636" s="635"/>
      <c r="H636" s="624"/>
      <c r="I636" s="630"/>
      <c r="K636" s="633"/>
      <c r="M636" s="634"/>
      <c r="O636" s="769"/>
      <c r="Q636" s="627"/>
      <c r="R636" s="634"/>
      <c r="T636" s="624"/>
      <c r="W636" s="623"/>
      <c r="X636" s="623"/>
      <c r="Y636" s="633"/>
      <c r="Z636" s="624"/>
      <c r="AB636" s="630"/>
      <c r="AC636" s="630"/>
      <c r="AD636" s="630"/>
      <c r="AE636" s="630"/>
      <c r="AF636" s="630"/>
      <c r="AG636" s="630"/>
    </row>
    <row r="637" spans="1:33">
      <c r="A637" s="628"/>
      <c r="B637" s="628"/>
      <c r="C637" s="630"/>
      <c r="D637" s="628"/>
      <c r="E637" s="630"/>
      <c r="F637" s="629"/>
      <c r="G637" s="635"/>
      <c r="H637" s="624"/>
      <c r="I637" s="630"/>
      <c r="K637" s="633"/>
      <c r="M637" s="634"/>
      <c r="O637" s="769"/>
      <c r="Q637" s="627"/>
      <c r="R637" s="634"/>
      <c r="T637" s="624"/>
      <c r="W637" s="623"/>
      <c r="X637" s="623"/>
      <c r="Y637" s="633"/>
      <c r="Z637" s="624"/>
      <c r="AB637" s="630"/>
      <c r="AC637" s="630"/>
      <c r="AD637" s="630"/>
      <c r="AE637" s="630"/>
      <c r="AF637" s="630"/>
      <c r="AG637" s="630"/>
    </row>
    <row r="638" spans="1:33">
      <c r="A638" s="628"/>
      <c r="B638" s="628"/>
      <c r="C638" s="630"/>
      <c r="D638" s="628"/>
      <c r="E638" s="630"/>
      <c r="F638" s="629"/>
      <c r="G638" s="635"/>
      <c r="H638" s="624"/>
      <c r="I638" s="630"/>
      <c r="K638" s="633"/>
      <c r="M638" s="634"/>
      <c r="O638" s="769"/>
      <c r="Q638" s="627"/>
      <c r="R638" s="634"/>
      <c r="T638" s="624"/>
      <c r="W638" s="623"/>
      <c r="X638" s="623"/>
      <c r="Y638" s="633"/>
      <c r="Z638" s="624"/>
      <c r="AB638" s="630"/>
      <c r="AC638" s="630"/>
      <c r="AD638" s="630"/>
      <c r="AE638" s="630"/>
      <c r="AF638" s="630"/>
      <c r="AG638" s="630"/>
    </row>
    <row r="639" spans="1:33">
      <c r="A639" s="628"/>
      <c r="B639" s="628"/>
      <c r="C639" s="630"/>
      <c r="D639" s="628"/>
      <c r="E639" s="630"/>
      <c r="F639" s="629"/>
      <c r="G639" s="635"/>
      <c r="H639" s="624"/>
      <c r="I639" s="630"/>
      <c r="K639" s="633"/>
      <c r="M639" s="634"/>
      <c r="O639" s="769"/>
      <c r="Q639" s="627"/>
      <c r="R639" s="634"/>
      <c r="T639" s="624"/>
      <c r="W639" s="623"/>
      <c r="X639" s="623"/>
      <c r="Y639" s="633"/>
      <c r="Z639" s="624"/>
      <c r="AB639" s="630"/>
      <c r="AC639" s="630"/>
      <c r="AD639" s="630"/>
      <c r="AE639" s="630"/>
      <c r="AF639" s="630"/>
      <c r="AG639" s="630"/>
    </row>
    <row r="640" spans="1:33">
      <c r="A640" s="628"/>
      <c r="B640" s="628"/>
      <c r="C640" s="630"/>
      <c r="D640" s="628"/>
      <c r="E640" s="630"/>
      <c r="F640" s="629"/>
      <c r="G640" s="635"/>
      <c r="H640" s="624"/>
      <c r="I640" s="630"/>
      <c r="K640" s="633"/>
      <c r="M640" s="634"/>
      <c r="O640" s="769"/>
      <c r="Q640" s="627"/>
      <c r="R640" s="634"/>
      <c r="T640" s="624"/>
      <c r="W640" s="623"/>
      <c r="X640" s="623"/>
      <c r="Y640" s="633"/>
      <c r="Z640" s="624"/>
      <c r="AB640" s="630"/>
      <c r="AC640" s="630"/>
      <c r="AD640" s="630"/>
      <c r="AE640" s="630"/>
      <c r="AF640" s="630"/>
      <c r="AG640" s="630"/>
    </row>
    <row r="641" spans="1:33">
      <c r="A641" s="628"/>
      <c r="B641" s="628"/>
      <c r="C641" s="630"/>
      <c r="D641" s="628"/>
      <c r="E641" s="630"/>
      <c r="F641" s="629"/>
      <c r="G641" s="635"/>
      <c r="H641" s="624"/>
      <c r="I641" s="630"/>
      <c r="K641" s="633"/>
      <c r="M641" s="634"/>
      <c r="O641" s="769"/>
      <c r="Q641" s="627"/>
      <c r="R641" s="634"/>
      <c r="T641" s="624"/>
      <c r="W641" s="623"/>
      <c r="X641" s="623"/>
      <c r="Y641" s="633"/>
      <c r="Z641" s="624"/>
      <c r="AB641" s="630"/>
      <c r="AC641" s="630"/>
      <c r="AD641" s="630"/>
      <c r="AE641" s="630"/>
      <c r="AF641" s="630"/>
      <c r="AG641" s="630"/>
    </row>
    <row r="642" spans="1:33">
      <c r="A642" s="628"/>
      <c r="B642" s="628"/>
      <c r="C642" s="630"/>
      <c r="D642" s="628"/>
      <c r="E642" s="630"/>
      <c r="F642" s="629"/>
      <c r="G642" s="635"/>
      <c r="H642" s="624"/>
      <c r="I642" s="630"/>
      <c r="K642" s="633"/>
      <c r="M642" s="634"/>
      <c r="O642" s="769"/>
      <c r="Q642" s="627"/>
      <c r="R642" s="634"/>
      <c r="T642" s="624"/>
      <c r="W642" s="623"/>
      <c r="X642" s="623"/>
      <c r="Y642" s="633"/>
      <c r="Z642" s="624"/>
      <c r="AB642" s="630"/>
      <c r="AC642" s="630"/>
      <c r="AD642" s="630"/>
      <c r="AE642" s="630"/>
      <c r="AF642" s="630"/>
      <c r="AG642" s="630"/>
    </row>
    <row r="643" spans="1:33">
      <c r="A643" s="628"/>
      <c r="B643" s="628"/>
      <c r="C643" s="630"/>
      <c r="D643" s="628"/>
      <c r="E643" s="630"/>
      <c r="F643" s="629"/>
      <c r="G643" s="635"/>
      <c r="H643" s="624"/>
      <c r="I643" s="630"/>
      <c r="K643" s="633"/>
      <c r="M643" s="634"/>
      <c r="O643" s="769"/>
      <c r="Q643" s="627"/>
      <c r="R643" s="634"/>
      <c r="T643" s="624"/>
      <c r="W643" s="623"/>
      <c r="X643" s="623"/>
      <c r="Y643" s="633"/>
      <c r="Z643" s="624"/>
      <c r="AB643" s="630"/>
      <c r="AC643" s="630"/>
      <c r="AD643" s="630"/>
      <c r="AE643" s="630"/>
      <c r="AF643" s="630"/>
      <c r="AG643" s="630"/>
    </row>
    <row r="644" spans="1:33">
      <c r="A644" s="628"/>
      <c r="B644" s="628"/>
      <c r="C644" s="630"/>
      <c r="D644" s="628"/>
      <c r="E644" s="630"/>
      <c r="F644" s="629"/>
      <c r="G644" s="635"/>
      <c r="H644" s="624"/>
      <c r="I644" s="630"/>
      <c r="K644" s="633"/>
      <c r="M644" s="634"/>
      <c r="O644" s="769"/>
      <c r="Q644" s="627"/>
      <c r="R644" s="634"/>
      <c r="T644" s="624"/>
      <c r="W644" s="623"/>
      <c r="X644" s="623"/>
      <c r="Y644" s="633"/>
      <c r="Z644" s="624"/>
      <c r="AB644" s="630"/>
      <c r="AC644" s="630"/>
      <c r="AD644" s="630"/>
      <c r="AE644" s="630"/>
      <c r="AF644" s="630"/>
      <c r="AG644" s="630"/>
    </row>
    <row r="645" spans="1:33">
      <c r="A645" s="628"/>
      <c r="B645" s="628"/>
      <c r="C645" s="630"/>
      <c r="D645" s="628"/>
      <c r="E645" s="630"/>
      <c r="F645" s="629"/>
      <c r="G645" s="635"/>
      <c r="H645" s="624"/>
      <c r="I645" s="630"/>
      <c r="K645" s="633"/>
      <c r="M645" s="634"/>
      <c r="O645" s="769"/>
      <c r="Q645" s="627"/>
      <c r="R645" s="634"/>
      <c r="T645" s="624"/>
      <c r="W645" s="623"/>
      <c r="X645" s="623"/>
      <c r="Y645" s="633"/>
      <c r="Z645" s="624"/>
      <c r="AB645" s="630"/>
      <c r="AC645" s="630"/>
      <c r="AD645" s="630"/>
      <c r="AE645" s="630"/>
      <c r="AF645" s="630"/>
      <c r="AG645" s="630"/>
    </row>
    <row r="646" spans="1:33">
      <c r="A646" s="628"/>
      <c r="B646" s="628"/>
      <c r="C646" s="630"/>
      <c r="D646" s="628"/>
      <c r="E646" s="630"/>
      <c r="F646" s="629"/>
      <c r="G646" s="635"/>
      <c r="H646" s="624"/>
      <c r="I646" s="630"/>
      <c r="K646" s="633"/>
      <c r="M646" s="634"/>
      <c r="O646" s="769"/>
      <c r="Q646" s="627"/>
      <c r="R646" s="634"/>
      <c r="T646" s="624"/>
      <c r="W646" s="623"/>
      <c r="X646" s="623"/>
      <c r="Y646" s="633"/>
      <c r="Z646" s="624"/>
      <c r="AB646" s="630"/>
      <c r="AC646" s="630"/>
      <c r="AD646" s="630"/>
      <c r="AE646" s="630"/>
      <c r="AF646" s="630"/>
      <c r="AG646" s="630"/>
    </row>
    <row r="647" spans="1:33">
      <c r="A647" s="628"/>
      <c r="B647" s="628"/>
      <c r="C647" s="630"/>
      <c r="D647" s="628"/>
      <c r="E647" s="630"/>
      <c r="F647" s="629"/>
      <c r="G647" s="635"/>
      <c r="H647" s="624"/>
      <c r="I647" s="630"/>
      <c r="K647" s="633"/>
      <c r="M647" s="634"/>
      <c r="O647" s="769"/>
      <c r="Q647" s="627"/>
      <c r="R647" s="634"/>
      <c r="T647" s="624"/>
      <c r="W647" s="623"/>
      <c r="X647" s="623"/>
      <c r="Y647" s="633"/>
      <c r="Z647" s="624"/>
      <c r="AB647" s="630"/>
      <c r="AC647" s="630"/>
      <c r="AD647" s="630"/>
      <c r="AE647" s="630"/>
      <c r="AF647" s="630"/>
      <c r="AG647" s="630"/>
    </row>
    <row r="648" spans="1:33">
      <c r="A648" s="628"/>
      <c r="B648" s="628"/>
      <c r="C648" s="630"/>
      <c r="D648" s="628"/>
      <c r="E648" s="630"/>
      <c r="F648" s="629"/>
      <c r="G648" s="635"/>
      <c r="H648" s="624"/>
      <c r="I648" s="630"/>
      <c r="K648" s="633"/>
      <c r="M648" s="634"/>
      <c r="O648" s="769"/>
      <c r="Q648" s="627"/>
      <c r="R648" s="634"/>
      <c r="T648" s="624"/>
      <c r="W648" s="623"/>
      <c r="X648" s="623"/>
      <c r="Y648" s="633"/>
      <c r="Z648" s="624"/>
      <c r="AB648" s="630"/>
      <c r="AC648" s="630"/>
      <c r="AD648" s="630"/>
      <c r="AE648" s="630"/>
      <c r="AF648" s="630"/>
      <c r="AG648" s="630"/>
    </row>
    <row r="649" spans="1:33">
      <c r="A649" s="628"/>
      <c r="B649" s="628"/>
      <c r="C649" s="630"/>
      <c r="D649" s="628"/>
      <c r="E649" s="630"/>
      <c r="F649" s="629"/>
      <c r="G649" s="635"/>
      <c r="H649" s="624"/>
      <c r="I649" s="630"/>
      <c r="K649" s="633"/>
      <c r="M649" s="634"/>
      <c r="O649" s="769"/>
      <c r="Q649" s="627"/>
      <c r="R649" s="634"/>
      <c r="T649" s="624"/>
      <c r="W649" s="623"/>
      <c r="X649" s="623"/>
      <c r="Y649" s="633"/>
      <c r="Z649" s="624"/>
      <c r="AB649" s="630"/>
      <c r="AC649" s="630"/>
      <c r="AD649" s="630"/>
      <c r="AE649" s="630"/>
      <c r="AF649" s="630"/>
      <c r="AG649" s="630"/>
    </row>
    <row r="650" spans="1:33">
      <c r="A650" s="628"/>
      <c r="B650" s="628"/>
      <c r="C650" s="630"/>
      <c r="D650" s="628"/>
      <c r="E650" s="630"/>
      <c r="F650" s="629"/>
      <c r="G650" s="635"/>
      <c r="H650" s="624"/>
      <c r="I650" s="630"/>
      <c r="K650" s="633"/>
      <c r="M650" s="634"/>
      <c r="O650" s="769"/>
      <c r="Q650" s="627"/>
      <c r="R650" s="634"/>
      <c r="T650" s="624"/>
      <c r="W650" s="623"/>
      <c r="X650" s="623"/>
      <c r="Y650" s="633"/>
      <c r="Z650" s="624"/>
      <c r="AB650" s="630"/>
      <c r="AC650" s="630"/>
      <c r="AD650" s="630"/>
      <c r="AE650" s="630"/>
      <c r="AF650" s="630"/>
      <c r="AG650" s="630"/>
    </row>
    <row r="651" spans="1:33">
      <c r="A651" s="628"/>
      <c r="B651" s="628"/>
      <c r="C651" s="630"/>
      <c r="D651" s="628"/>
      <c r="E651" s="630"/>
      <c r="F651" s="629"/>
      <c r="G651" s="635"/>
      <c r="H651" s="624"/>
      <c r="I651" s="630"/>
      <c r="K651" s="633"/>
      <c r="M651" s="634"/>
      <c r="O651" s="769"/>
      <c r="Q651" s="627"/>
      <c r="R651" s="634"/>
      <c r="T651" s="624"/>
      <c r="W651" s="623"/>
      <c r="X651" s="623"/>
      <c r="Y651" s="633"/>
      <c r="Z651" s="624"/>
      <c r="AB651" s="630"/>
      <c r="AC651" s="630"/>
      <c r="AD651" s="630"/>
      <c r="AE651" s="630"/>
      <c r="AF651" s="630"/>
      <c r="AG651" s="630"/>
    </row>
    <row r="652" spans="1:33">
      <c r="A652" s="628"/>
      <c r="B652" s="628"/>
      <c r="C652" s="630"/>
      <c r="D652" s="628"/>
      <c r="E652" s="630"/>
      <c r="F652" s="629"/>
      <c r="G652" s="635"/>
      <c r="H652" s="624"/>
      <c r="I652" s="630"/>
      <c r="K652" s="633"/>
      <c r="M652" s="634"/>
      <c r="O652" s="769"/>
      <c r="Q652" s="627"/>
      <c r="R652" s="634"/>
      <c r="T652" s="624"/>
      <c r="W652" s="623"/>
      <c r="X652" s="623"/>
      <c r="Y652" s="633"/>
      <c r="Z652" s="624"/>
      <c r="AB652" s="630"/>
      <c r="AC652" s="630"/>
      <c r="AD652" s="630"/>
      <c r="AE652" s="630"/>
      <c r="AF652" s="630"/>
      <c r="AG652" s="630"/>
    </row>
    <row r="653" spans="1:33">
      <c r="A653" s="628"/>
      <c r="B653" s="628"/>
      <c r="C653" s="630"/>
      <c r="D653" s="628"/>
      <c r="E653" s="630"/>
      <c r="F653" s="629"/>
      <c r="G653" s="635"/>
      <c r="H653" s="624"/>
      <c r="I653" s="630"/>
      <c r="K653" s="633"/>
      <c r="M653" s="634"/>
      <c r="O653" s="769"/>
      <c r="Q653" s="627"/>
      <c r="R653" s="634"/>
      <c r="T653" s="624"/>
      <c r="W653" s="623"/>
      <c r="X653" s="623"/>
      <c r="Y653" s="633"/>
      <c r="Z653" s="624"/>
      <c r="AB653" s="630"/>
      <c r="AC653" s="630"/>
      <c r="AD653" s="630"/>
      <c r="AE653" s="630"/>
      <c r="AF653" s="630"/>
      <c r="AG653" s="630"/>
    </row>
    <row r="654" spans="1:33">
      <c r="A654" s="628"/>
      <c r="B654" s="628"/>
      <c r="C654" s="630"/>
      <c r="D654" s="628"/>
      <c r="E654" s="630"/>
      <c r="F654" s="629"/>
      <c r="G654" s="635"/>
      <c r="H654" s="624"/>
      <c r="I654" s="630"/>
      <c r="K654" s="633"/>
      <c r="M654" s="634"/>
      <c r="O654" s="769"/>
      <c r="Q654" s="627"/>
      <c r="R654" s="634"/>
      <c r="T654" s="624"/>
      <c r="W654" s="623"/>
      <c r="X654" s="623"/>
      <c r="Y654" s="633"/>
      <c r="Z654" s="624"/>
      <c r="AB654" s="630"/>
      <c r="AC654" s="630"/>
      <c r="AD654" s="630"/>
      <c r="AE654" s="630"/>
      <c r="AF654" s="630"/>
      <c r="AG654" s="630"/>
    </row>
    <row r="655" spans="1:33">
      <c r="A655" s="628"/>
      <c r="B655" s="628"/>
      <c r="C655" s="630"/>
      <c r="D655" s="628"/>
      <c r="E655" s="630"/>
      <c r="F655" s="629"/>
      <c r="G655" s="635"/>
      <c r="H655" s="624"/>
      <c r="I655" s="630"/>
      <c r="K655" s="633"/>
      <c r="M655" s="634"/>
      <c r="O655" s="769"/>
      <c r="Q655" s="627"/>
      <c r="R655" s="634"/>
      <c r="T655" s="624"/>
      <c r="W655" s="623"/>
      <c r="X655" s="623"/>
      <c r="Y655" s="633"/>
      <c r="Z655" s="624"/>
      <c r="AB655" s="630"/>
      <c r="AC655" s="630"/>
      <c r="AD655" s="630"/>
      <c r="AE655" s="630"/>
      <c r="AF655" s="630"/>
      <c r="AG655" s="630"/>
    </row>
    <row r="656" spans="1:33">
      <c r="A656" s="628"/>
      <c r="B656" s="628"/>
      <c r="C656" s="630"/>
      <c r="D656" s="628"/>
      <c r="E656" s="630"/>
      <c r="F656" s="629"/>
      <c r="G656" s="635"/>
      <c r="H656" s="624"/>
      <c r="I656" s="630"/>
      <c r="K656" s="633"/>
      <c r="M656" s="634"/>
      <c r="O656" s="769"/>
      <c r="Q656" s="627"/>
      <c r="R656" s="634"/>
      <c r="T656" s="624"/>
      <c r="W656" s="623"/>
      <c r="X656" s="623"/>
      <c r="Y656" s="633"/>
      <c r="Z656" s="624"/>
      <c r="AB656" s="630"/>
      <c r="AC656" s="630"/>
      <c r="AD656" s="630"/>
      <c r="AE656" s="630"/>
      <c r="AF656" s="630"/>
      <c r="AG656" s="630"/>
    </row>
    <row r="657" spans="1:33">
      <c r="A657" s="628"/>
      <c r="B657" s="628"/>
      <c r="C657" s="630"/>
      <c r="D657" s="628"/>
      <c r="E657" s="630"/>
      <c r="F657" s="629"/>
      <c r="G657" s="635"/>
      <c r="H657" s="624"/>
      <c r="I657" s="630"/>
      <c r="K657" s="633"/>
      <c r="M657" s="634"/>
      <c r="O657" s="769"/>
      <c r="Q657" s="627"/>
      <c r="R657" s="634"/>
      <c r="T657" s="624"/>
      <c r="W657" s="623"/>
      <c r="X657" s="623"/>
      <c r="Y657" s="633"/>
      <c r="Z657" s="624"/>
      <c r="AB657" s="630"/>
      <c r="AC657" s="630"/>
      <c r="AD657" s="630"/>
      <c r="AE657" s="630"/>
      <c r="AF657" s="630"/>
      <c r="AG657" s="630"/>
    </row>
    <row r="658" spans="1:33">
      <c r="A658" s="628"/>
      <c r="B658" s="628"/>
      <c r="C658" s="630"/>
      <c r="D658" s="628"/>
      <c r="E658" s="630"/>
      <c r="F658" s="629"/>
      <c r="G658" s="635"/>
      <c r="H658" s="624"/>
      <c r="I658" s="630"/>
      <c r="K658" s="633"/>
      <c r="M658" s="634"/>
      <c r="O658" s="769"/>
      <c r="Q658" s="627"/>
      <c r="R658" s="634"/>
      <c r="T658" s="624"/>
      <c r="W658" s="623"/>
      <c r="X658" s="623"/>
      <c r="Y658" s="633"/>
      <c r="Z658" s="624"/>
      <c r="AB658" s="630"/>
      <c r="AC658" s="630"/>
      <c r="AD658" s="630"/>
      <c r="AE658" s="630"/>
      <c r="AF658" s="630"/>
      <c r="AG658" s="630"/>
    </row>
    <row r="659" spans="1:33">
      <c r="A659" s="628"/>
      <c r="B659" s="628"/>
      <c r="C659" s="630"/>
      <c r="D659" s="628"/>
      <c r="E659" s="630"/>
      <c r="F659" s="629"/>
      <c r="G659" s="635"/>
      <c r="H659" s="624"/>
      <c r="I659" s="630"/>
      <c r="K659" s="633"/>
      <c r="M659" s="634"/>
      <c r="O659" s="769"/>
      <c r="Q659" s="627"/>
      <c r="R659" s="634"/>
      <c r="T659" s="624"/>
      <c r="W659" s="623"/>
      <c r="X659" s="623"/>
      <c r="Y659" s="633"/>
      <c r="Z659" s="624"/>
      <c r="AB659" s="630"/>
      <c r="AC659" s="630"/>
      <c r="AD659" s="630"/>
      <c r="AE659" s="630"/>
      <c r="AF659" s="630"/>
      <c r="AG659" s="630"/>
    </row>
    <row r="660" spans="1:33">
      <c r="A660" s="628"/>
      <c r="B660" s="628"/>
      <c r="C660" s="630"/>
      <c r="D660" s="628"/>
      <c r="E660" s="630"/>
      <c r="F660" s="629"/>
      <c r="G660" s="635"/>
      <c r="H660" s="624"/>
      <c r="I660" s="630"/>
      <c r="K660" s="633"/>
      <c r="M660" s="634"/>
      <c r="O660" s="769"/>
      <c r="Q660" s="627"/>
      <c r="R660" s="634"/>
      <c r="T660" s="624"/>
      <c r="W660" s="623"/>
      <c r="X660" s="623"/>
      <c r="Y660" s="633"/>
      <c r="Z660" s="624"/>
      <c r="AB660" s="630"/>
      <c r="AC660" s="630"/>
      <c r="AD660" s="630"/>
      <c r="AE660" s="630"/>
      <c r="AF660" s="630"/>
      <c r="AG660" s="630"/>
    </row>
    <row r="661" spans="1:33">
      <c r="A661" s="628"/>
      <c r="B661" s="628"/>
      <c r="C661" s="630"/>
      <c r="D661" s="628"/>
      <c r="E661" s="630"/>
      <c r="F661" s="629"/>
      <c r="G661" s="635"/>
      <c r="H661" s="624"/>
      <c r="I661" s="630"/>
      <c r="K661" s="633"/>
      <c r="M661" s="634"/>
      <c r="O661" s="769"/>
      <c r="Q661" s="627"/>
      <c r="R661" s="634"/>
      <c r="T661" s="624"/>
      <c r="W661" s="623"/>
      <c r="X661" s="623"/>
      <c r="Y661" s="633"/>
      <c r="Z661" s="624"/>
      <c r="AB661" s="630"/>
      <c r="AC661" s="630"/>
      <c r="AD661" s="630"/>
      <c r="AE661" s="630"/>
      <c r="AF661" s="630"/>
      <c r="AG661" s="630"/>
    </row>
    <row r="662" spans="1:33">
      <c r="A662" s="628"/>
      <c r="B662" s="628"/>
      <c r="C662" s="630"/>
      <c r="D662" s="628"/>
      <c r="E662" s="630"/>
      <c r="F662" s="629"/>
      <c r="G662" s="635"/>
      <c r="H662" s="624"/>
      <c r="I662" s="630"/>
      <c r="K662" s="633"/>
      <c r="M662" s="634"/>
      <c r="O662" s="769"/>
      <c r="Q662" s="627"/>
      <c r="R662" s="634"/>
      <c r="T662" s="624"/>
      <c r="W662" s="623"/>
      <c r="X662" s="623"/>
      <c r="Y662" s="633"/>
      <c r="Z662" s="624"/>
      <c r="AB662" s="630"/>
      <c r="AC662" s="630"/>
      <c r="AD662" s="630"/>
      <c r="AE662" s="630"/>
      <c r="AF662" s="630"/>
      <c r="AG662" s="630"/>
    </row>
    <row r="663" spans="1:33">
      <c r="A663" s="628"/>
      <c r="B663" s="628"/>
      <c r="C663" s="630"/>
      <c r="D663" s="628"/>
      <c r="E663" s="630"/>
      <c r="F663" s="629"/>
      <c r="G663" s="635"/>
      <c r="H663" s="624"/>
      <c r="I663" s="630"/>
      <c r="K663" s="633"/>
      <c r="M663" s="634"/>
      <c r="O663" s="769"/>
      <c r="Q663" s="627"/>
      <c r="R663" s="634"/>
      <c r="T663" s="624"/>
      <c r="W663" s="623"/>
      <c r="X663" s="623"/>
      <c r="Y663" s="633"/>
      <c r="Z663" s="624"/>
      <c r="AB663" s="630"/>
      <c r="AC663" s="630"/>
      <c r="AD663" s="630"/>
      <c r="AE663" s="630"/>
      <c r="AF663" s="630"/>
      <c r="AG663" s="630"/>
    </row>
    <row r="664" spans="1:33">
      <c r="A664" s="628"/>
      <c r="B664" s="628"/>
      <c r="C664" s="630"/>
      <c r="D664" s="628"/>
      <c r="E664" s="630"/>
      <c r="F664" s="629"/>
      <c r="G664" s="635"/>
      <c r="H664" s="624"/>
      <c r="I664" s="630"/>
      <c r="K664" s="633"/>
      <c r="M664" s="634"/>
      <c r="O664" s="769"/>
      <c r="Q664" s="627"/>
      <c r="R664" s="634"/>
      <c r="T664" s="624"/>
      <c r="W664" s="623"/>
      <c r="X664" s="623"/>
      <c r="Y664" s="633"/>
      <c r="Z664" s="624"/>
      <c r="AB664" s="630"/>
      <c r="AC664" s="630"/>
      <c r="AD664" s="630"/>
      <c r="AE664" s="630"/>
      <c r="AF664" s="630"/>
      <c r="AG664" s="630"/>
    </row>
    <row r="665" spans="1:33">
      <c r="A665" s="628"/>
      <c r="B665" s="628"/>
      <c r="C665" s="630"/>
      <c r="D665" s="628"/>
      <c r="E665" s="630"/>
      <c r="F665" s="629"/>
      <c r="G665" s="635"/>
      <c r="H665" s="624"/>
      <c r="I665" s="630"/>
      <c r="K665" s="633"/>
      <c r="M665" s="634"/>
      <c r="O665" s="769"/>
      <c r="Q665" s="627"/>
      <c r="R665" s="634"/>
      <c r="T665" s="624"/>
      <c r="W665" s="623"/>
      <c r="X665" s="623"/>
      <c r="Y665" s="633"/>
      <c r="Z665" s="624"/>
      <c r="AB665" s="630"/>
      <c r="AC665" s="630"/>
      <c r="AD665" s="630"/>
      <c r="AE665" s="630"/>
      <c r="AF665" s="630"/>
      <c r="AG665" s="630"/>
    </row>
    <row r="666" spans="1:33">
      <c r="A666" s="628"/>
      <c r="B666" s="628"/>
      <c r="C666" s="630"/>
      <c r="D666" s="628"/>
      <c r="E666" s="630"/>
      <c r="F666" s="629"/>
      <c r="G666" s="635"/>
      <c r="H666" s="624"/>
      <c r="I666" s="630"/>
      <c r="K666" s="633"/>
      <c r="M666" s="634"/>
      <c r="O666" s="769"/>
      <c r="Q666" s="627"/>
      <c r="R666" s="634"/>
      <c r="T666" s="624"/>
      <c r="W666" s="623"/>
      <c r="X666" s="623"/>
      <c r="Y666" s="633"/>
      <c r="Z666" s="624"/>
      <c r="AB666" s="630"/>
      <c r="AC666" s="630"/>
      <c r="AD666" s="630"/>
      <c r="AE666" s="630"/>
      <c r="AF666" s="630"/>
      <c r="AG666" s="630"/>
    </row>
    <row r="667" spans="1:33">
      <c r="A667" s="628"/>
      <c r="B667" s="628"/>
      <c r="C667" s="630"/>
      <c r="D667" s="628"/>
      <c r="E667" s="630"/>
      <c r="F667" s="629"/>
      <c r="G667" s="635"/>
      <c r="H667" s="624"/>
      <c r="I667" s="630"/>
      <c r="K667" s="633"/>
      <c r="M667" s="634"/>
      <c r="O667" s="769"/>
      <c r="Q667" s="627"/>
      <c r="R667" s="634"/>
      <c r="T667" s="624"/>
      <c r="W667" s="623"/>
      <c r="X667" s="623"/>
      <c r="Y667" s="633"/>
      <c r="Z667" s="624"/>
      <c r="AB667" s="630"/>
      <c r="AC667" s="630"/>
      <c r="AD667" s="630"/>
      <c r="AE667" s="630"/>
      <c r="AF667" s="630"/>
      <c r="AG667" s="630"/>
    </row>
    <row r="668" spans="1:33">
      <c r="A668" s="628"/>
      <c r="B668" s="628"/>
      <c r="C668" s="630"/>
      <c r="D668" s="628"/>
      <c r="E668" s="630"/>
      <c r="F668" s="629"/>
      <c r="G668" s="635"/>
      <c r="H668" s="624"/>
      <c r="I668" s="630"/>
      <c r="K668" s="633"/>
      <c r="M668" s="634"/>
      <c r="O668" s="769"/>
      <c r="Q668" s="627"/>
      <c r="R668" s="634"/>
      <c r="T668" s="624"/>
      <c r="W668" s="623"/>
      <c r="X668" s="623"/>
      <c r="Y668" s="633"/>
      <c r="Z668" s="624"/>
      <c r="AB668" s="630"/>
      <c r="AC668" s="630"/>
      <c r="AD668" s="630"/>
      <c r="AE668" s="630"/>
      <c r="AF668" s="630"/>
      <c r="AG668" s="630"/>
    </row>
    <row r="669" spans="1:33">
      <c r="A669" s="628"/>
      <c r="B669" s="628"/>
      <c r="C669" s="630"/>
      <c r="D669" s="628"/>
      <c r="E669" s="630"/>
      <c r="F669" s="629"/>
      <c r="G669" s="635"/>
      <c r="H669" s="624"/>
      <c r="I669" s="630"/>
      <c r="K669" s="633"/>
      <c r="M669" s="634"/>
      <c r="O669" s="769"/>
      <c r="Q669" s="627"/>
      <c r="R669" s="634"/>
      <c r="T669" s="624"/>
      <c r="W669" s="623"/>
      <c r="X669" s="623"/>
      <c r="Y669" s="633"/>
      <c r="Z669" s="624"/>
      <c r="AB669" s="630"/>
      <c r="AC669" s="630"/>
      <c r="AD669" s="630"/>
      <c r="AE669" s="630"/>
      <c r="AF669" s="630"/>
      <c r="AG669" s="630"/>
    </row>
    <row r="670" spans="1:33">
      <c r="A670" s="628"/>
      <c r="B670" s="628"/>
      <c r="C670" s="630"/>
      <c r="D670" s="628"/>
      <c r="E670" s="630"/>
      <c r="F670" s="629"/>
      <c r="G670" s="635"/>
      <c r="H670" s="624"/>
      <c r="I670" s="630"/>
      <c r="K670" s="633"/>
      <c r="M670" s="634"/>
      <c r="O670" s="769"/>
      <c r="Q670" s="627"/>
      <c r="R670" s="634"/>
      <c r="T670" s="624"/>
      <c r="W670" s="623"/>
      <c r="X670" s="623"/>
      <c r="Y670" s="633"/>
      <c r="Z670" s="624"/>
      <c r="AB670" s="630"/>
      <c r="AC670" s="630"/>
      <c r="AD670" s="630"/>
      <c r="AE670" s="630"/>
      <c r="AF670" s="630"/>
      <c r="AG670" s="630"/>
    </row>
    <row r="671" spans="1:33">
      <c r="A671" s="628"/>
      <c r="B671" s="628"/>
      <c r="C671" s="630"/>
      <c r="D671" s="628"/>
      <c r="E671" s="630"/>
      <c r="F671" s="629"/>
      <c r="G671" s="635"/>
      <c r="H671" s="624"/>
      <c r="I671" s="630"/>
      <c r="K671" s="633"/>
      <c r="M671" s="634"/>
      <c r="O671" s="769"/>
      <c r="Q671" s="627"/>
      <c r="R671" s="634"/>
      <c r="T671" s="624"/>
      <c r="W671" s="623"/>
      <c r="X671" s="623"/>
      <c r="Y671" s="633"/>
      <c r="Z671" s="624"/>
      <c r="AB671" s="630"/>
      <c r="AC671" s="630"/>
      <c r="AD671" s="630"/>
      <c r="AE671" s="630"/>
      <c r="AF671" s="630"/>
      <c r="AG671" s="630"/>
    </row>
    <row r="672" spans="1:33">
      <c r="A672" s="628"/>
      <c r="B672" s="628"/>
      <c r="C672" s="630"/>
      <c r="D672" s="628"/>
      <c r="E672" s="630"/>
      <c r="F672" s="629"/>
      <c r="G672" s="635"/>
      <c r="H672" s="624"/>
      <c r="I672" s="630"/>
      <c r="K672" s="633"/>
      <c r="M672" s="634"/>
      <c r="O672" s="769"/>
      <c r="Q672" s="627"/>
      <c r="R672" s="634"/>
      <c r="T672" s="624"/>
      <c r="W672" s="623"/>
      <c r="X672" s="623"/>
      <c r="Y672" s="633"/>
      <c r="Z672" s="624"/>
      <c r="AB672" s="630"/>
      <c r="AC672" s="630"/>
      <c r="AD672" s="630"/>
      <c r="AE672" s="630"/>
      <c r="AF672" s="630"/>
      <c r="AG672" s="630"/>
    </row>
    <row r="673" spans="1:33">
      <c r="A673" s="628"/>
      <c r="B673" s="628"/>
      <c r="C673" s="630"/>
      <c r="D673" s="628"/>
      <c r="E673" s="630"/>
      <c r="F673" s="629"/>
      <c r="G673" s="635"/>
      <c r="H673" s="624"/>
      <c r="I673" s="630"/>
      <c r="K673" s="633"/>
      <c r="M673" s="634"/>
      <c r="O673" s="769"/>
      <c r="Q673" s="627"/>
      <c r="R673" s="634"/>
      <c r="T673" s="624"/>
      <c r="W673" s="623"/>
      <c r="X673" s="623"/>
      <c r="Y673" s="633"/>
      <c r="Z673" s="624"/>
      <c r="AB673" s="630"/>
      <c r="AC673" s="630"/>
      <c r="AD673" s="630"/>
      <c r="AE673" s="630"/>
      <c r="AF673" s="630"/>
      <c r="AG673" s="630"/>
    </row>
    <row r="674" spans="1:33">
      <c r="A674" s="628"/>
      <c r="B674" s="628"/>
      <c r="C674" s="630"/>
      <c r="D674" s="628"/>
      <c r="E674" s="630"/>
      <c r="F674" s="629"/>
      <c r="G674" s="635"/>
      <c r="H674" s="624"/>
      <c r="I674" s="630"/>
      <c r="K674" s="633"/>
      <c r="M674" s="634"/>
      <c r="O674" s="769"/>
      <c r="Q674" s="627"/>
      <c r="R674" s="634"/>
      <c r="T674" s="624"/>
      <c r="W674" s="623"/>
      <c r="X674" s="623"/>
      <c r="Y674" s="633"/>
      <c r="Z674" s="624"/>
      <c r="AB674" s="630"/>
      <c r="AC674" s="630"/>
      <c r="AD674" s="630"/>
      <c r="AE674" s="630"/>
      <c r="AF674" s="630"/>
      <c r="AG674" s="630"/>
    </row>
    <row r="675" spans="1:33">
      <c r="A675" s="628"/>
      <c r="B675" s="628"/>
      <c r="C675" s="630"/>
      <c r="D675" s="628"/>
      <c r="E675" s="630"/>
      <c r="F675" s="629"/>
      <c r="G675" s="635"/>
      <c r="H675" s="624"/>
      <c r="I675" s="630"/>
      <c r="K675" s="633"/>
      <c r="M675" s="634"/>
      <c r="O675" s="769"/>
      <c r="Q675" s="627"/>
      <c r="R675" s="634"/>
      <c r="T675" s="624"/>
      <c r="W675" s="623"/>
      <c r="X675" s="623"/>
      <c r="Y675" s="633"/>
      <c r="Z675" s="624"/>
      <c r="AB675" s="630"/>
      <c r="AC675" s="630"/>
      <c r="AD675" s="630"/>
      <c r="AE675" s="630"/>
      <c r="AF675" s="630"/>
      <c r="AG675" s="630"/>
    </row>
    <row r="676" spans="1:33">
      <c r="A676" s="628"/>
      <c r="B676" s="628"/>
      <c r="C676" s="630"/>
      <c r="D676" s="628"/>
      <c r="E676" s="630"/>
      <c r="F676" s="629"/>
      <c r="G676" s="635"/>
      <c r="H676" s="624"/>
      <c r="I676" s="630"/>
      <c r="K676" s="633"/>
      <c r="M676" s="634"/>
      <c r="O676" s="769"/>
      <c r="Q676" s="627"/>
      <c r="R676" s="634"/>
      <c r="T676" s="624"/>
      <c r="W676" s="623"/>
      <c r="X676" s="623"/>
      <c r="Y676" s="633"/>
      <c r="Z676" s="624"/>
      <c r="AB676" s="630"/>
      <c r="AC676" s="630"/>
      <c r="AD676" s="630"/>
      <c r="AE676" s="630"/>
      <c r="AF676" s="630"/>
      <c r="AG676" s="630"/>
    </row>
    <row r="677" spans="1:33">
      <c r="A677" s="628"/>
      <c r="B677" s="628"/>
      <c r="C677" s="630"/>
      <c r="D677" s="628"/>
      <c r="E677" s="630"/>
      <c r="F677" s="629"/>
      <c r="G677" s="635"/>
      <c r="H677" s="624"/>
      <c r="I677" s="630"/>
      <c r="K677" s="633"/>
      <c r="M677" s="634"/>
      <c r="O677" s="769"/>
      <c r="Q677" s="627"/>
      <c r="R677" s="634"/>
      <c r="T677" s="624"/>
      <c r="W677" s="623"/>
      <c r="X677" s="623"/>
      <c r="Y677" s="633"/>
      <c r="Z677" s="624"/>
      <c r="AB677" s="630"/>
      <c r="AC677" s="630"/>
      <c r="AD677" s="630"/>
      <c r="AE677" s="630"/>
      <c r="AF677" s="630"/>
      <c r="AG677" s="630"/>
    </row>
    <row r="678" spans="1:33">
      <c r="A678" s="628"/>
      <c r="B678" s="628"/>
      <c r="C678" s="630"/>
      <c r="D678" s="628"/>
      <c r="E678" s="630"/>
      <c r="F678" s="629"/>
      <c r="G678" s="635"/>
      <c r="H678" s="624"/>
      <c r="I678" s="630"/>
      <c r="K678" s="633"/>
      <c r="M678" s="634"/>
      <c r="O678" s="769"/>
      <c r="Q678" s="627"/>
      <c r="R678" s="634"/>
      <c r="T678" s="624"/>
      <c r="W678" s="623"/>
      <c r="X678" s="623"/>
      <c r="Y678" s="633"/>
      <c r="Z678" s="624"/>
      <c r="AB678" s="630"/>
      <c r="AC678" s="630"/>
      <c r="AD678" s="630"/>
      <c r="AE678" s="630"/>
      <c r="AF678" s="630"/>
      <c r="AG678" s="630"/>
    </row>
    <row r="679" spans="1:33">
      <c r="A679" s="628"/>
      <c r="B679" s="628"/>
      <c r="C679" s="630"/>
      <c r="D679" s="628"/>
      <c r="E679" s="630"/>
      <c r="F679" s="629"/>
      <c r="G679" s="635"/>
      <c r="H679" s="624"/>
      <c r="I679" s="630"/>
      <c r="K679" s="633"/>
      <c r="M679" s="634"/>
      <c r="O679" s="769"/>
      <c r="Q679" s="627"/>
      <c r="R679" s="634"/>
      <c r="T679" s="624"/>
      <c r="W679" s="623"/>
      <c r="X679" s="623"/>
      <c r="Y679" s="633"/>
      <c r="Z679" s="624"/>
      <c r="AB679" s="630"/>
      <c r="AC679" s="630"/>
      <c r="AD679" s="630"/>
      <c r="AE679" s="630"/>
      <c r="AF679" s="630"/>
      <c r="AG679" s="630"/>
    </row>
    <row r="680" spans="1:33">
      <c r="A680" s="628"/>
      <c r="B680" s="628"/>
      <c r="C680" s="630"/>
      <c r="D680" s="628"/>
      <c r="E680" s="630"/>
      <c r="F680" s="629"/>
      <c r="G680" s="635"/>
      <c r="H680" s="624"/>
      <c r="I680" s="630"/>
      <c r="K680" s="633"/>
      <c r="M680" s="634"/>
      <c r="O680" s="769"/>
      <c r="Q680" s="627"/>
      <c r="R680" s="634"/>
      <c r="T680" s="624"/>
      <c r="W680" s="623"/>
      <c r="X680" s="623"/>
      <c r="Y680" s="633"/>
      <c r="Z680" s="624"/>
      <c r="AB680" s="630"/>
      <c r="AC680" s="630"/>
      <c r="AD680" s="630"/>
      <c r="AE680" s="630"/>
      <c r="AF680" s="630"/>
      <c r="AG680" s="630"/>
    </row>
    <row r="681" spans="1:33">
      <c r="A681" s="628"/>
      <c r="B681" s="628"/>
      <c r="C681" s="630"/>
      <c r="D681" s="628"/>
      <c r="E681" s="630"/>
      <c r="F681" s="629"/>
      <c r="G681" s="635"/>
      <c r="H681" s="624"/>
      <c r="I681" s="630"/>
      <c r="K681" s="633"/>
      <c r="M681" s="634"/>
      <c r="O681" s="769"/>
      <c r="Q681" s="627"/>
      <c r="R681" s="634"/>
      <c r="T681" s="624"/>
      <c r="W681" s="623"/>
      <c r="X681" s="623"/>
      <c r="Y681" s="633"/>
      <c r="Z681" s="624"/>
      <c r="AB681" s="630"/>
      <c r="AC681" s="630"/>
      <c r="AD681" s="630"/>
      <c r="AE681" s="630"/>
      <c r="AF681" s="630"/>
      <c r="AG681" s="630"/>
    </row>
    <row r="682" spans="1:33">
      <c r="A682" s="628"/>
      <c r="B682" s="628"/>
      <c r="C682" s="630"/>
      <c r="D682" s="628"/>
      <c r="E682" s="630"/>
      <c r="F682" s="629"/>
      <c r="G682" s="635"/>
      <c r="H682" s="624"/>
      <c r="I682" s="630"/>
      <c r="K682" s="633"/>
      <c r="M682" s="634"/>
      <c r="O682" s="769"/>
      <c r="Q682" s="627"/>
      <c r="R682" s="634"/>
      <c r="T682" s="624"/>
      <c r="W682" s="623"/>
      <c r="X682" s="623"/>
      <c r="Y682" s="633"/>
      <c r="Z682" s="624"/>
      <c r="AB682" s="630"/>
      <c r="AC682" s="630"/>
      <c r="AD682" s="630"/>
      <c r="AE682" s="630"/>
      <c r="AF682" s="630"/>
      <c r="AG682" s="630"/>
    </row>
  </sheetData>
  <mergeCells count="19">
    <mergeCell ref="S2:S4"/>
    <mergeCell ref="T2:T4"/>
    <mergeCell ref="U2:U4"/>
    <mergeCell ref="V2:V4"/>
    <mergeCell ref="F2:F4"/>
    <mergeCell ref="G2:G4"/>
    <mergeCell ref="H2:H4"/>
    <mergeCell ref="Q2:Q4"/>
    <mergeCell ref="R2:R4"/>
    <mergeCell ref="A2:A4"/>
    <mergeCell ref="B2:B4"/>
    <mergeCell ref="C2:C4"/>
    <mergeCell ref="D2:D4"/>
    <mergeCell ref="E2:E4"/>
    <mergeCell ref="W2:W4"/>
    <mergeCell ref="X2:X4"/>
    <mergeCell ref="Y2:Y4"/>
    <mergeCell ref="Z2:Z4"/>
    <mergeCell ref="AA2:AA4"/>
  </mergeCells>
  <phoneticPr fontId="8" type="noConversion"/>
  <hyperlinks>
    <hyperlink ref="U2" r:id="rId1" xr:uid="{8666E5C3-341F-4453-BFDE-74310EC26E89}"/>
    <hyperlink ref="V2" r:id="rId2" xr:uid="{2F5B2FD5-9B5B-4BCD-84EB-0B777DE685B8}"/>
    <hyperlink ref="W2" r:id="rId3" xr:uid="{F2012722-678A-4250-A65D-C78E1704AB4D}"/>
    <hyperlink ref="X2" r:id="rId4" xr:uid="{1D2BD798-A515-4380-BB3E-5C09D9CCA9CB}"/>
    <hyperlink ref="AA2" r:id="rId5" xr:uid="{3B7287EF-7D45-4DFA-B78B-DE5DE12B9225}"/>
    <hyperlink ref="U5" r:id="rId6" location=":~:text=Ukraine%20and%20the%20Slovak%20Republic,on%20Twitter%20on%20June%202." xr:uid="{E4C2A5B2-7552-4498-8471-A04F4BC30867}"/>
    <hyperlink ref="U6" r:id="rId7" xr:uid="{4EB6781F-C745-4C34-B9CF-2F111C641270}"/>
    <hyperlink ref="U7" r:id="rId8" xr:uid="{929DD6D3-17A7-4BC8-8D98-6B7330611BF1}"/>
    <hyperlink ref="U8" r:id="rId9" xr:uid="{C35443C7-DAB8-4B73-9537-EE4A04EDB3A8}"/>
  </hyperlinks>
  <pageMargins left="0.7" right="0.7" top="0.75" bottom="0.75" header="0.3" footer="0.3"/>
  <pageSetup paperSize="8" fitToWidth="0" fitToHeight="0" orientation="portrait" horizont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72C4"/>
  </sheetPr>
  <dimension ref="A1:AI163"/>
  <sheetViews>
    <sheetView showGridLines="0" topLeftCell="Q1" workbookViewId="0">
      <pane ySplit="1" topLeftCell="R6" activePane="bottomLeft" state="frozen"/>
      <selection pane="bottomLeft" activeCell="R6" sqref="R6"/>
    </sheetView>
  </sheetViews>
  <sheetFormatPr defaultColWidth="8.875" defaultRowHeight="15"/>
  <cols>
    <col min="1" max="1" width="8.875" style="117"/>
    <col min="2" max="2" width="60.375" style="94" bestFit="1" customWidth="1"/>
    <col min="3" max="3" width="11.625" style="131" bestFit="1" customWidth="1"/>
    <col min="4" max="4" width="16.125" style="131" bestFit="1" customWidth="1"/>
    <col min="5" max="5" width="11" style="131" bestFit="1" customWidth="1"/>
    <col min="6" max="6" width="25.875" style="131" bestFit="1" customWidth="1"/>
    <col min="7" max="7" width="25.375" style="120" customWidth="1"/>
    <col min="8" max="8" width="29" style="134" bestFit="1" customWidth="1"/>
    <col min="9" max="9" width="22.375" style="120" bestFit="1" customWidth="1"/>
    <col min="10" max="10" width="28" style="121" bestFit="1" customWidth="1"/>
    <col min="11" max="11" width="25.875" style="94" bestFit="1" customWidth="1"/>
    <col min="12" max="12" width="25.875" style="94" customWidth="1"/>
    <col min="13" max="13" width="26.125" style="94" bestFit="1" customWidth="1"/>
    <col min="14" max="14" width="38.5" style="94" bestFit="1" customWidth="1"/>
    <col min="15" max="15" width="37" style="122" bestFit="1" customWidth="1"/>
    <col min="16" max="16" width="30.125" style="107" bestFit="1" customWidth="1"/>
    <col min="17" max="17" width="28.625" style="168" bestFit="1" customWidth="1"/>
    <col min="18" max="18" width="27.625" style="94" bestFit="1" customWidth="1"/>
    <col min="19" max="19" width="22.5" style="94" customWidth="1"/>
    <col min="20" max="20" width="16.5" style="94" customWidth="1"/>
    <col min="21" max="21" width="18.875" style="94" bestFit="1" customWidth="1"/>
    <col min="22" max="22" width="16.375" style="94" customWidth="1"/>
    <col min="23" max="28" width="8.875" style="94"/>
    <col min="29" max="29" width="8.875" style="124"/>
    <col min="30" max="16384" width="8.875" style="94"/>
  </cols>
  <sheetData>
    <row r="1" spans="1:35" s="109" customFormat="1">
      <c r="A1" s="108" t="s">
        <v>2155</v>
      </c>
      <c r="B1" s="109" t="s">
        <v>2156</v>
      </c>
      <c r="C1" s="110" t="s">
        <v>2157</v>
      </c>
      <c r="D1" s="110" t="s">
        <v>2158</v>
      </c>
      <c r="E1" s="110" t="s">
        <v>2159</v>
      </c>
      <c r="F1" s="110" t="s">
        <v>2160</v>
      </c>
      <c r="G1" s="111" t="s">
        <v>2161</v>
      </c>
      <c r="H1" s="112" t="s">
        <v>2162</v>
      </c>
      <c r="I1" s="111" t="s">
        <v>2163</v>
      </c>
      <c r="J1" s="113" t="s">
        <v>2164</v>
      </c>
      <c r="K1" s="109" t="s">
        <v>2165</v>
      </c>
      <c r="L1" s="109" t="s">
        <v>2166</v>
      </c>
      <c r="M1" s="109" t="s">
        <v>2167</v>
      </c>
      <c r="N1" s="109" t="s">
        <v>2168</v>
      </c>
      <c r="O1" s="114" t="s">
        <v>2169</v>
      </c>
      <c r="P1" s="165" t="s">
        <v>2170</v>
      </c>
      <c r="Q1" s="166" t="s">
        <v>2171</v>
      </c>
      <c r="R1" s="115" t="s">
        <v>2172</v>
      </c>
      <c r="S1" s="116" t="s">
        <v>2173</v>
      </c>
      <c r="T1" s="116"/>
      <c r="U1" s="116"/>
      <c r="V1" s="116"/>
      <c r="W1" s="116"/>
      <c r="X1" s="116"/>
      <c r="Y1" s="116"/>
      <c r="Z1" s="116"/>
      <c r="AA1" s="116"/>
    </row>
    <row r="2" spans="1:35">
      <c r="A2" s="117">
        <v>0</v>
      </c>
      <c r="B2" s="512" t="s">
        <v>189</v>
      </c>
      <c r="C2" s="513">
        <f>SUMIFS('MAIN DATASET'!R:R,'MAIN DATASET'!D:D,"Financial",'MAIN DATASET'!B:B,'AGGREGATES by country'!B2)/1000000000</f>
        <v>0</v>
      </c>
      <c r="D2" s="513">
        <f>SUMIFS('MAIN DATASET'!R:R,'MAIN DATASET'!D:D,"Humanitarian",'MAIN DATASET'!B:B,'AGGREGATES by country'!B2)/1000000000</f>
        <v>4.7479912344777213E-2</v>
      </c>
      <c r="E2" s="513">
        <f>SUMIFS('MAIN DATASET'!R:R,'MAIN DATASET'!D:D,"Military",'MAIN DATASET'!B:B,'AGGREGATES by country'!B2)/1000000000</f>
        <v>0.18533767182415831</v>
      </c>
      <c r="F2" s="118">
        <f t="shared" ref="F2:F42" si="0">SUM(C2:E2)</f>
        <v>0.23281758416893553</v>
      </c>
      <c r="G2" s="119">
        <f t="shared" ref="G2:G42" si="1">F2*1000000000</f>
        <v>232817584.16893554</v>
      </c>
      <c r="H2" s="514">
        <v>1327836171068.51</v>
      </c>
      <c r="I2" s="120">
        <f>H2/VLOOKUP("USD",'Currency Conversion'!B:C,2,0)</f>
        <v>1257420616542.1497</v>
      </c>
      <c r="J2" s="121">
        <f t="shared" ref="J2:J42" si="2">G2/I2*100</f>
        <v>1.8515489654462123E-2</v>
      </c>
      <c r="K2" s="94">
        <f>VLOOKUP(B2,'EU aid shares'!B:E,4,0)</f>
        <v>0</v>
      </c>
      <c r="L2" s="94">
        <f>VLOOKUP(B2,'EPF aid shares'!B:G,6,0)</f>
        <v>0</v>
      </c>
      <c r="M2" s="94">
        <f>VLOOKUP(B2,'EIB aid shares'!B:E,4,0)</f>
        <v>0</v>
      </c>
      <c r="N2" s="94">
        <f t="shared" ref="N2:N42" si="3">SUM(K2:M2)</f>
        <v>0</v>
      </c>
      <c r="O2" s="515">
        <f t="shared" ref="O2:O42" si="4">N2/(VLOOKUP(B2,B:I,8,0)/1000000000)*100</f>
        <v>0</v>
      </c>
      <c r="P2" s="167">
        <f t="shared" ref="P2:P42" si="5">N2+F2</f>
        <v>0.23281758416893553</v>
      </c>
      <c r="Q2" s="168">
        <f t="shared" ref="Q2:Q42" si="6">P2/(I2/1000000000)*100</f>
        <v>1.8515489654462119E-2</v>
      </c>
      <c r="R2" s="94">
        <f>VLOOKUP(B2,'Military aid by type'!B:F,5,0)</f>
        <v>0.18533767182415833</v>
      </c>
      <c r="S2" s="512">
        <f>VLOOKUP(B2,'Military aid by type'!B:G,6,0)</f>
        <v>0</v>
      </c>
      <c r="T2" s="512"/>
      <c r="U2" s="512"/>
      <c r="V2" s="516"/>
      <c r="W2" s="512"/>
      <c r="X2" s="512"/>
      <c r="Y2" s="512"/>
      <c r="Z2" s="512"/>
      <c r="AA2" s="512"/>
      <c r="AC2" s="517"/>
    </row>
    <row r="3" spans="1:35">
      <c r="A3" s="117">
        <v>1</v>
      </c>
      <c r="B3" s="94" t="s">
        <v>257</v>
      </c>
      <c r="C3" s="513">
        <f>SUMIFS('MAIN DATASET'!R:R,'MAIN DATASET'!D:D,"Financial",'MAIN DATASET'!B:B,'AGGREGATES by country'!B3)/1000000000</f>
        <v>0.01</v>
      </c>
      <c r="D3" s="513">
        <f>SUMIFS('MAIN DATASET'!R:R,'MAIN DATASET'!D:D,"Humanitarian",'MAIN DATASET'!B:B,'AGGREGATES by country'!B3)/1000000000</f>
        <v>4.5133901515151516E-2</v>
      </c>
      <c r="E3" s="513">
        <f>SUMIFS('MAIN DATASET'!R:R,'MAIN DATASET'!D:D,"Military",'MAIN DATASET'!B:B,'AGGREGATES by country'!B3)/1000000000</f>
        <v>3.3860407670454539E-3</v>
      </c>
      <c r="F3" s="118">
        <f t="shared" si="0"/>
        <v>5.8519942282196973E-2</v>
      </c>
      <c r="G3" s="119">
        <f t="shared" si="1"/>
        <v>58519942.282196976</v>
      </c>
      <c r="H3" s="514">
        <f>433258.47*1000000</f>
        <v>433258470000</v>
      </c>
      <c r="I3" s="120">
        <f>H3/VLOOKUP("USD",'Currency Conversion'!B:C,2,0)</f>
        <v>410282642045.45453</v>
      </c>
      <c r="J3" s="121">
        <f t="shared" si="2"/>
        <v>1.4263323934555743E-2</v>
      </c>
      <c r="K3" s="94">
        <f>VLOOKUP(B3,'EU aid shares'!B:E,4,0)</f>
        <v>0.3440009496886694</v>
      </c>
      <c r="L3" s="94">
        <f>VLOOKUP(B3,'EPF aid shares'!B:G,6,0)</f>
        <v>5.6244338038500687E-2</v>
      </c>
      <c r="M3" s="94">
        <f>VLOOKUP(B3,'EIB aid shares'!B:E,4,0)</f>
        <v>5.1745532886851645E-2</v>
      </c>
      <c r="N3" s="94">
        <f t="shared" si="3"/>
        <v>0.45199082061402174</v>
      </c>
      <c r="O3" s="515">
        <f t="shared" si="4"/>
        <v>0.11016571853018985</v>
      </c>
      <c r="P3" s="167">
        <f t="shared" si="5"/>
        <v>0.51051076289621866</v>
      </c>
      <c r="Q3" s="168">
        <f t="shared" si="6"/>
        <v>0.12442904246474558</v>
      </c>
      <c r="R3" s="94">
        <f>VLOOKUP(B3,'Military aid by type'!B:F,5,0)</f>
        <v>3.3860407670454539E-3</v>
      </c>
      <c r="S3" s="512">
        <f>VLOOKUP(B3,'Military aid by type'!B:G,6,0)</f>
        <v>0</v>
      </c>
      <c r="T3" s="512"/>
      <c r="U3" s="512"/>
      <c r="V3" s="516"/>
      <c r="W3" s="512"/>
      <c r="X3" s="512"/>
      <c r="Y3" s="512"/>
      <c r="Z3" s="512"/>
      <c r="AA3" s="512"/>
      <c r="AC3" s="517"/>
    </row>
    <row r="4" spans="1:35">
      <c r="A4" s="117">
        <v>1</v>
      </c>
      <c r="B4" s="94" t="s">
        <v>296</v>
      </c>
      <c r="C4" s="513">
        <f>SUMIFS('MAIN DATASET'!R:R,'MAIN DATASET'!D:D,"Financial",'MAIN DATASET'!B:B,'AGGREGATES by country'!B4)/1000000000</f>
        <v>0</v>
      </c>
      <c r="D4" s="513">
        <f>SUMIFS('MAIN DATASET'!R:R,'MAIN DATASET'!D:D,"Humanitarian",'MAIN DATASET'!B:B,'AGGREGATES by country'!B4)/1000000000</f>
        <v>0.1164</v>
      </c>
      <c r="E4" s="513">
        <f>SUMIFS('MAIN DATASET'!R:R,'MAIN DATASET'!D:D,"Military",'MAIN DATASET'!B:B,'AGGREGATES by country'!B4)/1000000000</f>
        <v>7.5999999999999998E-2</v>
      </c>
      <c r="F4" s="118">
        <f t="shared" si="0"/>
        <v>0.19240000000000002</v>
      </c>
      <c r="G4" s="119">
        <f t="shared" si="1"/>
        <v>192400000.00000003</v>
      </c>
      <c r="H4" s="514">
        <f>521861.29*1000000</f>
        <v>521861290000</v>
      </c>
      <c r="I4" s="120">
        <f>H4/VLOOKUP("USD",'Currency Conversion'!B:C,2,0)</f>
        <v>494186827651.51514</v>
      </c>
      <c r="J4" s="121">
        <f t="shared" si="2"/>
        <v>3.8932644343097386E-2</v>
      </c>
      <c r="K4" s="94">
        <f>VLOOKUP(B4,'EU aid shares'!B:E,4,0)</f>
        <v>0.4097888015400975</v>
      </c>
      <c r="L4" s="94">
        <f>VLOOKUP(B4,'EPF aid shares'!B:G,6,0)</f>
        <v>6.8974724126219605E-2</v>
      </c>
      <c r="M4" s="94">
        <f>VLOOKUP(B4,'EIB aid shares'!B:E,4,0)</f>
        <v>0.10424062413548618</v>
      </c>
      <c r="N4" s="94">
        <f t="shared" si="3"/>
        <v>0.58300414980180326</v>
      </c>
      <c r="O4" s="515">
        <f t="shared" si="4"/>
        <v>0.11797241795625504</v>
      </c>
      <c r="P4" s="167">
        <f t="shared" si="5"/>
        <v>0.77540414980180328</v>
      </c>
      <c r="Q4" s="168">
        <f t="shared" si="6"/>
        <v>0.15690506229935244</v>
      </c>
      <c r="R4" s="94">
        <f>VLOOKUP(B4,'Military aid by type'!B:F,5,0)</f>
        <v>7.5999999999999998E-2</v>
      </c>
      <c r="S4" s="512">
        <f>VLOOKUP(B4,'Military aid by type'!B:G,6,0)</f>
        <v>0</v>
      </c>
      <c r="T4" s="512"/>
      <c r="U4" s="512"/>
      <c r="V4" s="516"/>
      <c r="W4" s="512"/>
      <c r="X4" s="512"/>
      <c r="Y4" s="512"/>
      <c r="Z4" s="512"/>
      <c r="AA4" s="512"/>
      <c r="AC4" s="517"/>
      <c r="AF4" s="997"/>
      <c r="AG4" s="997"/>
      <c r="AH4" s="997"/>
      <c r="AI4" s="997"/>
    </row>
    <row r="5" spans="1:35" ht="15.75" customHeight="1">
      <c r="A5" s="125">
        <v>1</v>
      </c>
      <c r="B5" s="126" t="s">
        <v>329</v>
      </c>
      <c r="C5" s="513">
        <f>SUMIFS('MAIN DATASET'!R:R,'MAIN DATASET'!D:D,"Financial",'MAIN DATASET'!B:B,'AGGREGATES by country'!B5)/1000000000</f>
        <v>0</v>
      </c>
      <c r="D5" s="513">
        <f>SUMIFS('MAIN DATASET'!R:R,'MAIN DATASET'!D:D,"Humanitarian",'MAIN DATASET'!B:B,'AGGREGATES by country'!B5)/1000000000</f>
        <v>7.0600000000000003E-4</v>
      </c>
      <c r="E5" s="513">
        <f>SUMIFS('MAIN DATASET'!R:R,'MAIN DATASET'!D:D,"Military",'MAIN DATASET'!B:B,'AGGREGATES by country'!B5)/1000000000</f>
        <v>3.5984848484848482E-3</v>
      </c>
      <c r="F5" s="118">
        <f t="shared" si="0"/>
        <v>4.3044848484848483E-3</v>
      </c>
      <c r="G5" s="127">
        <f t="shared" si="1"/>
        <v>4304484.8484848486</v>
      </c>
      <c r="H5" s="128">
        <v>69889347433.432404</v>
      </c>
      <c r="I5" s="128">
        <f>H5/VLOOKUP("USD",'Currency Conversion'!B:C,2,0)</f>
        <v>66183094160.44735</v>
      </c>
      <c r="J5" s="129">
        <f t="shared" si="2"/>
        <v>6.5039039094326829E-3</v>
      </c>
      <c r="K5" s="94">
        <f>VLOOKUP(B5,'EU aid shares'!B:E,4,0)</f>
        <v>7.3662916302249845E-2</v>
      </c>
      <c r="L5" s="94">
        <f>VLOOKUP(B5,'EPF aid shares'!B:G,6,0)</f>
        <v>8.7125138438883323E-3</v>
      </c>
      <c r="M5" s="94">
        <f>VLOOKUP(B5,'EIB aid shares'!B:E,4,0)</f>
        <v>4.105207281778973E-3</v>
      </c>
      <c r="N5" s="94">
        <f t="shared" si="3"/>
        <v>8.6480637427917159E-2</v>
      </c>
      <c r="O5" s="515">
        <f t="shared" si="4"/>
        <v>0.13066877353642994</v>
      </c>
      <c r="P5" s="167">
        <f t="shared" si="5"/>
        <v>9.0785122276402008E-2</v>
      </c>
      <c r="Q5" s="168">
        <f t="shared" si="6"/>
        <v>0.13717267744586265</v>
      </c>
      <c r="R5" s="94">
        <f>VLOOKUP(B5,'Military aid by type'!B:F,5,0)</f>
        <v>3.5984848484848482E-3</v>
      </c>
      <c r="S5" s="512">
        <f>VLOOKUP(B5,'Military aid by type'!B:G,6,0)</f>
        <v>0</v>
      </c>
      <c r="T5" s="512"/>
      <c r="U5" s="512"/>
      <c r="V5" s="516"/>
      <c r="W5" s="512"/>
      <c r="X5" s="512"/>
      <c r="Y5" s="512"/>
      <c r="Z5" s="512"/>
      <c r="AA5" s="512"/>
      <c r="AC5" s="517"/>
      <c r="AF5" s="997"/>
      <c r="AG5" s="997"/>
      <c r="AH5" s="997"/>
      <c r="AI5" s="997"/>
    </row>
    <row r="6" spans="1:35">
      <c r="A6" s="117">
        <v>0</v>
      </c>
      <c r="B6" s="94" t="s">
        <v>350</v>
      </c>
      <c r="C6" s="513">
        <f>SUMIFS('MAIN DATASET'!R:R,'MAIN DATASET'!D:D,"Financial",'MAIN DATASET'!B:B,'AGGREGATES by country'!B6)/1000000000</f>
        <v>1.4407092722571113</v>
      </c>
      <c r="D6" s="513">
        <f>SUMIFS('MAIN DATASET'!R:R,'MAIN DATASET'!D:D,"Humanitarian",'MAIN DATASET'!B:B,'AGGREGATES by country'!B6)/1000000000</f>
        <v>0.25024011821204289</v>
      </c>
      <c r="E6" s="513">
        <f>SUMIFS('MAIN DATASET'!R:R,'MAIN DATASET'!D:D,"Military",'MAIN DATASET'!B:B,'AGGREGATES by country'!B6)/1000000000</f>
        <v>0.91932362269517998</v>
      </c>
      <c r="F6" s="118">
        <f t="shared" si="0"/>
        <v>2.6102730131643339</v>
      </c>
      <c r="G6" s="119">
        <f t="shared" si="1"/>
        <v>2610273013.1643338</v>
      </c>
      <c r="H6" s="514">
        <f>1645423.41*1000000</f>
        <v>1645423410000</v>
      </c>
      <c r="I6" s="120">
        <f>H6/VLOOKUP("USD",'Currency Conversion'!B:C,2,0)</f>
        <v>1558166107954.5454</v>
      </c>
      <c r="J6" s="121">
        <f t="shared" si="2"/>
        <v>0.16752212744448169</v>
      </c>
      <c r="K6" s="94">
        <f>VLOOKUP(B6,'EU aid shares'!B:E,4,0)</f>
        <v>0</v>
      </c>
      <c r="L6" s="94">
        <f>VLOOKUP(B6,'EPF aid shares'!B:G,6,0)</f>
        <v>0</v>
      </c>
      <c r="M6" s="94">
        <f>VLOOKUP(B6,'EIB aid shares'!B:E,4,0)</f>
        <v>0</v>
      </c>
      <c r="N6" s="94">
        <f t="shared" si="3"/>
        <v>0</v>
      </c>
      <c r="O6" s="515">
        <f t="shared" si="4"/>
        <v>0</v>
      </c>
      <c r="P6" s="167">
        <f t="shared" si="5"/>
        <v>2.6102730131643339</v>
      </c>
      <c r="Q6" s="168">
        <f t="shared" si="6"/>
        <v>0.16752212744448172</v>
      </c>
      <c r="R6" s="94">
        <f>VLOOKUP(B6,'Military aid by type'!B:F,5,0)</f>
        <v>0.91932362269517987</v>
      </c>
      <c r="S6" s="512">
        <f>VLOOKUP(B6,'Military aid by type'!B:G,6,0)</f>
        <v>0</v>
      </c>
      <c r="T6" s="512"/>
      <c r="U6" s="512"/>
      <c r="V6" s="516"/>
      <c r="W6" s="512"/>
      <c r="X6" s="512"/>
      <c r="Y6" s="512"/>
      <c r="Z6" s="512"/>
      <c r="AA6" s="512"/>
      <c r="AC6" s="517"/>
      <c r="AF6" s="997"/>
      <c r="AG6" s="997"/>
      <c r="AH6" s="997"/>
      <c r="AI6" s="997"/>
    </row>
    <row r="7" spans="1:35">
      <c r="A7" s="117">
        <v>1</v>
      </c>
      <c r="B7" s="94" t="s">
        <v>464</v>
      </c>
      <c r="C7" s="513">
        <f>SUMIFS('MAIN DATASET'!R:R,'MAIN DATASET'!D:D,"Financial",'MAIN DATASET'!B:B,'AGGREGATES by country'!B7)/1000000000</f>
        <v>0</v>
      </c>
      <c r="D7" s="513">
        <f>SUMIFS('MAIN DATASET'!R:R,'MAIN DATASET'!D:D,"Humanitarian",'MAIN DATASET'!B:B,'AGGREGATES by country'!B7)/1000000000</f>
        <v>6.4437766925785666E-3</v>
      </c>
      <c r="E7" s="513">
        <f>SUMIFS('MAIN DATASET'!R:R,'MAIN DATASET'!D:D,"Military",'MAIN DATASET'!B:B,'AGGREGATES by country'!B7)/1000000000</f>
        <v>1.6477310477709121E-2</v>
      </c>
      <c r="F7" s="118">
        <f t="shared" si="0"/>
        <v>2.2921087170287686E-2</v>
      </c>
      <c r="G7" s="119">
        <f t="shared" si="1"/>
        <v>22921087.170287687</v>
      </c>
      <c r="H7" s="120">
        <f>57203.78*1000000</f>
        <v>57203780000</v>
      </c>
      <c r="I7" s="120">
        <f>H7/VLOOKUP("USD",'Currency Conversion'!B:C,2,0)</f>
        <v>54170246212.121208</v>
      </c>
      <c r="J7" s="121">
        <f t="shared" si="2"/>
        <v>4.2313057024944506E-2</v>
      </c>
      <c r="K7" s="94">
        <f>VLOOKUP(B7,'EU aid shares'!B:E,4,0)</f>
        <v>4.9181372657690861E-2</v>
      </c>
      <c r="L7" s="94">
        <f>VLOOKUP(B7,'EPF aid shares'!B:G,6,0)</f>
        <v>7.6700839844899118E-3</v>
      </c>
      <c r="M7" s="94">
        <f>VLOOKUP(B7,'EIB aid shares'!B:E,4,0)</f>
        <v>8.5503152247076754E-3</v>
      </c>
      <c r="N7" s="94">
        <f t="shared" si="3"/>
        <v>6.5401771866888447E-2</v>
      </c>
      <c r="O7" s="515">
        <f t="shared" si="4"/>
        <v>0.12073375411805691</v>
      </c>
      <c r="P7" s="167">
        <f t="shared" si="5"/>
        <v>8.8322859037176127E-2</v>
      </c>
      <c r="Q7" s="168">
        <f t="shared" si="6"/>
        <v>0.16304681114300137</v>
      </c>
      <c r="R7" s="94">
        <f>VLOOKUP(B7,'Military aid by type'!B:F,5,0)</f>
        <v>1.6477310477709121E-2</v>
      </c>
      <c r="S7" s="512">
        <f>VLOOKUP(B7,'Military aid by type'!B:G,6,0)</f>
        <v>0</v>
      </c>
      <c r="T7" s="512"/>
      <c r="U7" s="512"/>
      <c r="V7" s="516"/>
      <c r="W7" s="512"/>
      <c r="X7" s="512"/>
      <c r="Y7" s="512"/>
      <c r="Z7" s="512"/>
      <c r="AA7" s="512"/>
      <c r="AC7" s="517"/>
      <c r="AF7" s="997"/>
      <c r="AG7" s="997"/>
      <c r="AH7" s="997"/>
      <c r="AI7" s="997"/>
    </row>
    <row r="8" spans="1:35" ht="15.75" customHeight="1">
      <c r="A8" s="117">
        <v>1</v>
      </c>
      <c r="B8" s="94" t="s">
        <v>490</v>
      </c>
      <c r="C8" s="513">
        <f>SUMIFS('MAIN DATASET'!R:R,'MAIN DATASET'!D:D,"Financial",'MAIN DATASET'!B:B,'AGGREGATES by country'!B8)/1000000000</f>
        <v>0</v>
      </c>
      <c r="D8" s="513">
        <f>SUMIFS('MAIN DATASET'!R:R,'MAIN DATASET'!D:D,"Humanitarian",'MAIN DATASET'!B:B,'AGGREGATES by country'!B8)/1000000000</f>
        <v>2.3939393939393936E-3</v>
      </c>
      <c r="E8" s="513">
        <f>SUMIFS('MAIN DATASET'!R:R,'MAIN DATASET'!D:D,"Military",'MAIN DATASET'!B:B,'AGGREGATES by country'!B8)/1000000000</f>
        <v>0</v>
      </c>
      <c r="F8" s="118">
        <f t="shared" si="0"/>
        <v>2.3939393939393936E-3</v>
      </c>
      <c r="G8" s="119">
        <f t="shared" si="1"/>
        <v>2393939.3939393936</v>
      </c>
      <c r="H8" s="120">
        <f>24612.65*1000000</f>
        <v>24612650000</v>
      </c>
      <c r="I8" s="120">
        <f>H8/VLOOKUP("USD",'Currency Conversion'!B:C,2,0)</f>
        <v>23307433712.121212</v>
      </c>
      <c r="J8" s="121">
        <f t="shared" si="2"/>
        <v>1.0271141059577086E-2</v>
      </c>
      <c r="K8" s="94">
        <f>VLOOKUP(B8,'EU aid shares'!B:E,4,0)</f>
        <v>1.8411531280012987E-2</v>
      </c>
      <c r="L8" s="94">
        <f>VLOOKUP(B8,'EPF aid shares'!B:G,6,0)</f>
        <v>3.0836328359618768E-3</v>
      </c>
      <c r="M8" s="94">
        <f>VLOOKUP(B8,'EIB aid shares'!B:E,4,0)</f>
        <v>2.5877458211528699E-3</v>
      </c>
      <c r="N8" s="94">
        <f t="shared" si="3"/>
        <v>2.4082909937127733E-2</v>
      </c>
      <c r="O8" s="515">
        <f t="shared" si="4"/>
        <v>0.10332716263225165</v>
      </c>
      <c r="P8" s="167">
        <f t="shared" si="5"/>
        <v>2.6476849331067125E-2</v>
      </c>
      <c r="Q8" s="168">
        <f t="shared" si="6"/>
        <v>0.11359830369182873</v>
      </c>
      <c r="R8" s="94">
        <f>VLOOKUP(B8,'Military aid by type'!B:F,5,0)</f>
        <v>0</v>
      </c>
      <c r="S8" s="512">
        <f>VLOOKUP(B8,'Military aid by type'!B:G,6,0)</f>
        <v>0</v>
      </c>
      <c r="T8" s="512"/>
      <c r="U8" s="512"/>
      <c r="V8" s="516"/>
      <c r="W8" s="512"/>
      <c r="X8" s="512"/>
      <c r="Y8" s="512"/>
      <c r="Z8" s="512"/>
      <c r="AA8" s="512"/>
      <c r="AC8" s="517"/>
    </row>
    <row r="9" spans="1:35">
      <c r="A9" s="117">
        <v>1</v>
      </c>
      <c r="B9" s="94" t="s">
        <v>503</v>
      </c>
      <c r="C9" s="513">
        <f>SUMIFS('MAIN DATASET'!R:R,'MAIN DATASET'!D:D,"Financial",'MAIN DATASET'!B:B,'AGGREGATES by country'!B9)/1000000000</f>
        <v>0</v>
      </c>
      <c r="D9" s="513">
        <f>SUMIFS('MAIN DATASET'!R:R,'MAIN DATASET'!D:D,"Humanitarian",'MAIN DATASET'!B:B,'AGGREGATES by country'!B9)/1000000000</f>
        <v>0.10436510548631822</v>
      </c>
      <c r="E9" s="513">
        <f>SUMIFS('MAIN DATASET'!R:R,'MAIN DATASET'!D:D,"Military",'MAIN DATASET'!B:B,'AGGREGATES by country'!B9)/1000000000</f>
        <v>0.25621643027857555</v>
      </c>
      <c r="F9" s="118">
        <f t="shared" si="0"/>
        <v>0.36058153576489377</v>
      </c>
      <c r="G9" s="119">
        <f t="shared" si="1"/>
        <v>360581535.76489377</v>
      </c>
      <c r="H9" s="120">
        <v>245339320000</v>
      </c>
      <c r="I9" s="120">
        <f>H9/VLOOKUP("USD",'Currency Conversion'!B:C,2,0)</f>
        <v>232328901515.15149</v>
      </c>
      <c r="J9" s="121">
        <f t="shared" si="2"/>
        <v>0.15520304766791065</v>
      </c>
      <c r="K9" s="94">
        <f>VLOOKUP(B9,'EU aid shares'!B:E,4,0)</f>
        <v>0.17230271612389719</v>
      </c>
      <c r="L9" s="94">
        <f>VLOOKUP(B9,'EPF aid shares'!B:G,6,0)</f>
        <v>3.0802944586329397E-2</v>
      </c>
      <c r="M9" s="94">
        <f>VLOOKUP(B9,'EIB aid shares'!B:E,4,0)</f>
        <v>1.7763022495545105E-2</v>
      </c>
      <c r="N9" s="94">
        <f t="shared" si="3"/>
        <v>0.22086868320577169</v>
      </c>
      <c r="O9" s="515">
        <f t="shared" si="4"/>
        <v>9.5067243793328732E-2</v>
      </c>
      <c r="P9" s="167">
        <f t="shared" si="5"/>
        <v>0.5814502189706654</v>
      </c>
      <c r="Q9" s="168">
        <f t="shared" si="6"/>
        <v>0.25027029146123936</v>
      </c>
      <c r="R9" s="94">
        <f>VLOOKUP(B9,'Military aid by type'!B:F,5,0)</f>
        <v>0.25621643027857555</v>
      </c>
      <c r="S9" s="512">
        <f>VLOOKUP(B9,'Military aid by type'!B:G,6,0)</f>
        <v>0</v>
      </c>
      <c r="T9" s="512"/>
      <c r="U9" s="512"/>
      <c r="V9" s="516"/>
      <c r="W9" s="512"/>
      <c r="X9" s="512"/>
      <c r="Y9" s="512"/>
      <c r="Z9" s="512"/>
      <c r="AA9" s="512"/>
      <c r="AC9" s="517"/>
    </row>
    <row r="10" spans="1:35">
      <c r="A10" s="117">
        <v>1</v>
      </c>
      <c r="B10" s="94" t="s">
        <v>618</v>
      </c>
      <c r="C10" s="513">
        <f>SUMIFS('MAIN DATASET'!R:R,'MAIN DATASET'!D:D,"Financial",'MAIN DATASET'!B:B,'AGGREGATES by country'!B10)/1000000000</f>
        <v>0.02</v>
      </c>
      <c r="D10" s="513">
        <f>SUMIFS('MAIN DATASET'!R:R,'MAIN DATASET'!D:D,"Humanitarian",'MAIN DATASET'!B:B,'AGGREGATES by country'!B10)/1000000000</f>
        <v>3.7369609635444674E-2</v>
      </c>
      <c r="E10" s="513">
        <f>SUMIFS('MAIN DATASET'!R:R,'MAIN DATASET'!D:D,"Military",'MAIN DATASET'!B:B,'AGGREGATES by country'!B10)/1000000000</f>
        <v>0.26884611248521345</v>
      </c>
      <c r="F10" s="118">
        <f t="shared" si="0"/>
        <v>0.32621572212065814</v>
      </c>
      <c r="G10" s="119">
        <f t="shared" si="1"/>
        <v>326215722.12065816</v>
      </c>
      <c r="H10" s="120">
        <v>356084870000</v>
      </c>
      <c r="I10" s="120">
        <f>H10/VLOOKUP("USD",'Currency Conversion'!B:C,2,0)</f>
        <v>337201581439.39392</v>
      </c>
      <c r="J10" s="121">
        <f t="shared" si="2"/>
        <v>9.674204988249431E-2</v>
      </c>
      <c r="K10" s="94">
        <f>VLOOKUP(B10,'EU aid shares'!B:E,4,0)</f>
        <v>0.29805187960407703</v>
      </c>
      <c r="L10" s="94">
        <f>VLOOKUP(B10,'EPF aid shares'!B:G,6,0)</f>
        <v>4.7926743234378531E-2</v>
      </c>
      <c r="M10" s="94">
        <f>VLOOKUP(B10,'EIB aid shares'!B:E,4,0)</f>
        <v>5.2780020044418716E-2</v>
      </c>
      <c r="N10" s="94">
        <f t="shared" si="3"/>
        <v>0.39875864288287427</v>
      </c>
      <c r="O10" s="515">
        <f t="shared" si="4"/>
        <v>0.11825527068429367</v>
      </c>
      <c r="P10" s="167">
        <f t="shared" si="5"/>
        <v>0.72497436500353241</v>
      </c>
      <c r="Q10" s="168">
        <f t="shared" si="6"/>
        <v>0.21499732056678797</v>
      </c>
      <c r="R10" s="94">
        <f>VLOOKUP(B10,'Military aid by type'!B:F,5,0)</f>
        <v>0.26884611248521345</v>
      </c>
      <c r="S10" s="512">
        <f>VLOOKUP(B10,'Military aid by type'!B:G,6,0)</f>
        <v>0</v>
      </c>
      <c r="T10" s="512"/>
      <c r="U10" s="512"/>
      <c r="V10" s="516"/>
      <c r="W10" s="512"/>
      <c r="X10" s="512"/>
      <c r="Y10" s="512"/>
      <c r="Z10" s="512"/>
      <c r="AA10" s="512"/>
      <c r="AC10" s="517"/>
    </row>
    <row r="11" spans="1:35">
      <c r="A11" s="117">
        <v>1</v>
      </c>
      <c r="B11" s="94" t="s">
        <v>666</v>
      </c>
      <c r="C11" s="513">
        <f>SUMIFS('MAIN DATASET'!R:R,'MAIN DATASET'!D:D,"Financial",'MAIN DATASET'!B:B,'AGGREGATES by country'!B11)/1000000000</f>
        <v>0</v>
      </c>
      <c r="D11" s="513">
        <f>SUMIFS('MAIN DATASET'!R:R,'MAIN DATASET'!D:D,"Humanitarian",'MAIN DATASET'!B:B,'AGGREGATES by country'!B11)/1000000000</f>
        <v>4.8499989999999998E-3</v>
      </c>
      <c r="E11" s="513">
        <f>SUMIFS('MAIN DATASET'!R:R,'MAIN DATASET'!D:D,"Military",'MAIN DATASET'!B:B,'AGGREGATES by country'!B11)/1000000000</f>
        <v>0.245</v>
      </c>
      <c r="F11" s="118">
        <f t="shared" si="0"/>
        <v>0.24984999899999999</v>
      </c>
      <c r="G11" s="119">
        <f t="shared" si="1"/>
        <v>249849999</v>
      </c>
      <c r="H11" s="120">
        <v>30650290000</v>
      </c>
      <c r="I11" s="120">
        <f>H11/VLOOKUP("USD",'Currency Conversion'!B:C,2,0)</f>
        <v>29024895833.333332</v>
      </c>
      <c r="J11" s="121">
        <f t="shared" si="2"/>
        <v>0.86081273274739001</v>
      </c>
      <c r="K11" s="94">
        <f>VLOOKUP(B11,'EU aid shares'!B:E,4,0)</f>
        <v>2.3364930028397693E-2</v>
      </c>
      <c r="L11" s="94">
        <f>VLOOKUP(B11,'EPF aid shares'!B:G,6,0)</f>
        <v>4.0280299374203287E-3</v>
      </c>
      <c r="M11" s="94">
        <f>VLOOKUP(B11,'EIB aid shares'!B:E,4,0)</f>
        <v>1.6600457933228115E-3</v>
      </c>
      <c r="N11" s="94">
        <f t="shared" si="3"/>
        <v>2.9053005759140833E-2</v>
      </c>
      <c r="O11" s="515">
        <f t="shared" si="4"/>
        <v>0.10009684763717641</v>
      </c>
      <c r="P11" s="167">
        <f t="shared" si="5"/>
        <v>0.27890300475914082</v>
      </c>
      <c r="Q11" s="168">
        <f t="shared" si="6"/>
        <v>0.96090958038456631</v>
      </c>
      <c r="R11" s="94">
        <f>VLOOKUP(B11,'Military aid by type'!B:F,5,0)</f>
        <v>0.245</v>
      </c>
      <c r="S11" s="512">
        <f>VLOOKUP(B11,'Military aid by type'!B:G,6,0)</f>
        <v>0</v>
      </c>
      <c r="T11" s="512"/>
      <c r="U11" s="512"/>
      <c r="V11" s="516"/>
      <c r="W11" s="512"/>
      <c r="X11" s="512"/>
      <c r="Y11" s="512"/>
      <c r="Z11" s="512"/>
      <c r="AA11" s="512"/>
      <c r="AC11" s="517"/>
    </row>
    <row r="12" spans="1:35">
      <c r="A12" s="117">
        <v>0</v>
      </c>
      <c r="B12" s="94" t="s">
        <v>2015</v>
      </c>
      <c r="C12" s="513">
        <f>SUMIFS('MAIN DATASET'!R:R,'MAIN DATASET'!D:D,"Financial",'MAIN DATASET'!B:B,'AGGREGATES by country'!B12)/1000000000</f>
        <v>10.32</v>
      </c>
      <c r="D12" s="513">
        <f>SUMIFS('MAIN DATASET'!R:R,'MAIN DATASET'!D:D,"Humanitarian",'MAIN DATASET'!B:B,'AGGREGATES by country'!B12)/1000000000</f>
        <v>1.42</v>
      </c>
      <c r="E12" s="513">
        <f>SUMIFS('MAIN DATASET'!R:R,'MAIN DATASET'!D:D,"Military",'MAIN DATASET'!B:B,'AGGREGATES by country'!B12)/1000000000</f>
        <v>0</v>
      </c>
      <c r="F12" s="118">
        <f t="shared" si="0"/>
        <v>11.74</v>
      </c>
      <c r="G12" s="119">
        <f t="shared" si="1"/>
        <v>11740000000</v>
      </c>
      <c r="H12" s="514">
        <f>15291934.75*1000000</f>
        <v>15291934750000</v>
      </c>
      <c r="I12" s="120">
        <f>H12/VLOOKUP("USD",'Currency Conversion'!B:C,2,0)</f>
        <v>14480998816287.879</v>
      </c>
      <c r="J12" s="121">
        <f t="shared" si="2"/>
        <v>8.1071755815594226E-2</v>
      </c>
      <c r="K12" s="94">
        <f>VLOOKUP(B12,'EU aid shares'!B:E,4,0)</f>
        <v>0</v>
      </c>
      <c r="L12" s="94">
        <f>VLOOKUP(B12,'EPF aid shares'!B:G,6,0)</f>
        <v>0</v>
      </c>
      <c r="M12" s="94">
        <f>VLOOKUP(B12,'EIB aid shares'!B:E,4,0)</f>
        <v>0</v>
      </c>
      <c r="N12" s="94">
        <f t="shared" si="3"/>
        <v>0</v>
      </c>
      <c r="O12" s="515">
        <f t="shared" si="4"/>
        <v>0</v>
      </c>
      <c r="P12" s="167">
        <f t="shared" si="5"/>
        <v>11.74</v>
      </c>
      <c r="Q12" s="168">
        <f t="shared" si="6"/>
        <v>8.1071755815594226E-2</v>
      </c>
      <c r="R12" s="94">
        <f>VLOOKUP(B12,'Military aid by type'!B:F,5,0)</f>
        <v>0</v>
      </c>
      <c r="S12" s="512">
        <f>VLOOKUP(B12,'Military aid by type'!B:G,6,0)</f>
        <v>0</v>
      </c>
      <c r="T12" s="512"/>
      <c r="U12" s="512"/>
      <c r="V12" s="516"/>
      <c r="W12" s="512"/>
      <c r="X12" s="512"/>
      <c r="Y12" s="512"/>
      <c r="Z12" s="512"/>
      <c r="AA12" s="512"/>
      <c r="AC12" s="517"/>
    </row>
    <row r="13" spans="1:35">
      <c r="A13" s="117">
        <v>1</v>
      </c>
      <c r="B13" s="94" t="s">
        <v>701</v>
      </c>
      <c r="C13" s="513">
        <f>SUMIFS('MAIN DATASET'!R:R,'MAIN DATASET'!D:D,"Financial",'MAIN DATASET'!B:B,'AGGREGATES by country'!B13)/1000000000</f>
        <v>7.4999999999999997E-2</v>
      </c>
      <c r="D13" s="513">
        <f>SUMIFS('MAIN DATASET'!R:R,'MAIN DATASET'!D:D,"Humanitarian",'MAIN DATASET'!B:B,'AGGREGATES by country'!B13)/1000000000</f>
        <v>5.4709375000000001E-3</v>
      </c>
      <c r="E13" s="513">
        <f>SUMIFS('MAIN DATASET'!R:R,'MAIN DATASET'!D:D,"Military",'MAIN DATASET'!B:B,'AGGREGATES by country'!B13)/1000000000</f>
        <v>2.93E-2</v>
      </c>
      <c r="F13" s="118">
        <f t="shared" si="0"/>
        <v>0.1097709375</v>
      </c>
      <c r="G13" s="119">
        <f t="shared" si="1"/>
        <v>109770937.5</v>
      </c>
      <c r="H13" s="120">
        <v>269594830000.00003</v>
      </c>
      <c r="I13" s="120">
        <f>H13/VLOOKUP("USD",'Currency Conversion'!B:C,2,0)</f>
        <v>255298134469.69699</v>
      </c>
      <c r="J13" s="121">
        <f t="shared" si="2"/>
        <v>4.2997156139826562E-2</v>
      </c>
      <c r="K13" s="94">
        <f>VLOOKUP(B13,'EU aid shares'!B:E,4,0)</f>
        <v>0.19983185933737757</v>
      </c>
      <c r="L13" s="94">
        <f>VLOOKUP(B13,'EPF aid shares'!B:G,6,0)</f>
        <v>3.5922304991269485E-2</v>
      </c>
      <c r="M13" s="94">
        <f>VLOOKUP(B13,'EIB aid shares'!B:E,4,0)</f>
        <v>2.9729782390341176E-2</v>
      </c>
      <c r="N13" s="94">
        <f t="shared" si="3"/>
        <v>0.26548394671898823</v>
      </c>
      <c r="O13" s="515">
        <f t="shared" si="4"/>
        <v>0.10398977151574143</v>
      </c>
      <c r="P13" s="167">
        <f t="shared" si="5"/>
        <v>0.37525488421898823</v>
      </c>
      <c r="Q13" s="168">
        <f t="shared" si="6"/>
        <v>0.14698692765556801</v>
      </c>
      <c r="R13" s="94">
        <f>VLOOKUP(B13,'Military aid by type'!B:F,5,0)</f>
        <v>2.93E-2</v>
      </c>
      <c r="S13" s="512">
        <f>VLOOKUP(B13,'Military aid by type'!B:G,6,0)</f>
        <v>0</v>
      </c>
      <c r="T13" s="512"/>
      <c r="U13" s="512"/>
      <c r="V13" s="516"/>
      <c r="W13" s="512"/>
      <c r="X13" s="512"/>
      <c r="Y13" s="512"/>
      <c r="Z13" s="512"/>
      <c r="AA13" s="512"/>
      <c r="AC13" s="517"/>
    </row>
    <row r="14" spans="1:35">
      <c r="A14" s="117">
        <v>1</v>
      </c>
      <c r="B14" s="94" t="s">
        <v>763</v>
      </c>
      <c r="C14" s="513">
        <f>SUMIFS('MAIN DATASET'!R:R,'MAIN DATASET'!D:D,"Financial",'MAIN DATASET'!B:B,'AGGREGATES by country'!B14)/1000000000</f>
        <v>1.8</v>
      </c>
      <c r="D14" s="513">
        <f>SUMIFS('MAIN DATASET'!R:R,'MAIN DATASET'!D:D,"Humanitarian",'MAIN DATASET'!B:B,'AGGREGATES by country'!B14)/1000000000</f>
        <v>0.1194314393939394</v>
      </c>
      <c r="E14" s="513">
        <f>SUMIFS('MAIN DATASET'!R:R,'MAIN DATASET'!D:D,"Military",'MAIN DATASET'!B:B,'AGGREGATES by country'!B14)/1000000000</f>
        <v>0.19375000000000001</v>
      </c>
      <c r="F14" s="118">
        <f t="shared" si="0"/>
        <v>2.1131814393939394</v>
      </c>
      <c r="G14" s="119">
        <f t="shared" si="1"/>
        <v>2113181439.3939395</v>
      </c>
      <c r="H14" s="120">
        <v>2630317730000</v>
      </c>
      <c r="I14" s="120">
        <f>H14/VLOOKUP("USD",'Currency Conversion'!B:C,2,0)</f>
        <v>2490831183712.1211</v>
      </c>
      <c r="J14" s="121">
        <f t="shared" si="2"/>
        <v>8.4838404674404108E-2</v>
      </c>
      <c r="K14" s="94">
        <f>VLOOKUP(B14,'EU aid shares'!B:E,4,0)</f>
        <v>1.9888651577963501</v>
      </c>
      <c r="L14" s="94">
        <f>VLOOKUP(B14,'EPF aid shares'!B:G,6,0)</f>
        <v>0.34713997440077388</v>
      </c>
      <c r="M14" s="94">
        <f>VLOOKUP(B14,'EIB aid shares'!B:E,4,0)</f>
        <v>0.37605786289314741</v>
      </c>
      <c r="N14" s="94">
        <f t="shared" si="3"/>
        <v>2.7120629950902715</v>
      </c>
      <c r="O14" s="515">
        <f t="shared" si="4"/>
        <v>0.10888184686400326</v>
      </c>
      <c r="P14" s="167">
        <f t="shared" si="5"/>
        <v>4.8252444344842109</v>
      </c>
      <c r="Q14" s="168">
        <f t="shared" si="6"/>
        <v>0.19372025153840738</v>
      </c>
      <c r="R14" s="94">
        <f>VLOOKUP(B14,'Military aid by type'!B:F,5,0)</f>
        <v>0.19375000000000001</v>
      </c>
      <c r="S14" s="512">
        <f>VLOOKUP(B14,'Military aid by type'!B:G,6,0)</f>
        <v>0</v>
      </c>
      <c r="T14" s="512"/>
      <c r="U14" s="512"/>
      <c r="V14" s="516"/>
      <c r="W14" s="512"/>
      <c r="X14" s="512"/>
      <c r="Y14" s="512"/>
      <c r="Z14" s="512"/>
      <c r="AA14" s="512"/>
      <c r="AC14" s="517"/>
    </row>
    <row r="15" spans="1:35">
      <c r="A15" s="117">
        <v>1</v>
      </c>
      <c r="B15" s="94" t="s">
        <v>840</v>
      </c>
      <c r="C15" s="513">
        <f>SUMIFS('MAIN DATASET'!R:R,'MAIN DATASET'!D:D,"Financial",'MAIN DATASET'!B:B,'AGGREGATES by country'!B15)/1000000000</f>
        <v>1.1499999999999999</v>
      </c>
      <c r="D15" s="513">
        <f>SUMIFS('MAIN DATASET'!R:R,'MAIN DATASET'!D:D,"Humanitarian",'MAIN DATASET'!B:B,'AGGREGATES by country'!B15)/1000000000</f>
        <v>0.75</v>
      </c>
      <c r="E15" s="513">
        <f>SUMIFS('MAIN DATASET'!R:R,'MAIN DATASET'!D:D,"Military",'MAIN DATASET'!B:B,'AGGREGATES by country'!B15)/1000000000</f>
        <v>1.4395290571969697</v>
      </c>
      <c r="F15" s="118">
        <f t="shared" si="0"/>
        <v>3.3395290571969696</v>
      </c>
      <c r="G15" s="119">
        <f t="shared" si="1"/>
        <v>3339529057.1969695</v>
      </c>
      <c r="H15" s="120">
        <v>3846413930000</v>
      </c>
      <c r="I15" s="120">
        <f>H15/VLOOKUP("USD",'Currency Conversion'!B:C,2,0)</f>
        <v>3642437433712.1211</v>
      </c>
      <c r="J15" s="121">
        <f t="shared" si="2"/>
        <v>9.1683909963377233E-2</v>
      </c>
      <c r="K15" s="94">
        <f>VLOOKUP(B15,'EU aid shares'!B:E,4,0)</f>
        <v>2.3561638727846255</v>
      </c>
      <c r="L15" s="94">
        <f>VLOOKUP(B15,'EPF aid shares'!B:G,6,0)</f>
        <v>0.51550423232269782</v>
      </c>
      <c r="M15" s="94">
        <f>VLOOKUP(B15,'EIB aid shares'!B:E,4,0)</f>
        <v>0.37605786289314741</v>
      </c>
      <c r="N15" s="94">
        <f t="shared" si="3"/>
        <v>3.2477259680004709</v>
      </c>
      <c r="O15" s="515">
        <f t="shared" si="4"/>
        <v>8.9163534778704825E-2</v>
      </c>
      <c r="P15" s="167">
        <f t="shared" si="5"/>
        <v>6.5872550251974404</v>
      </c>
      <c r="Q15" s="168">
        <f t="shared" si="6"/>
        <v>0.18084744474208206</v>
      </c>
      <c r="R15" s="94">
        <f>VLOOKUP(B15,'Military aid by type'!B:F,5,0)</f>
        <v>0.6751290571969697</v>
      </c>
      <c r="S15" s="512">
        <f>VLOOKUP(B15,'Military aid by type'!B:G,6,0)</f>
        <v>0.76439999999999997</v>
      </c>
      <c r="T15" s="512"/>
      <c r="U15" s="512"/>
      <c r="V15" s="516"/>
      <c r="W15" s="512"/>
      <c r="X15" s="512"/>
      <c r="Y15" s="512"/>
      <c r="Z15" s="512"/>
      <c r="AA15" s="512"/>
      <c r="AC15" s="517"/>
    </row>
    <row r="16" spans="1:35">
      <c r="A16" s="117">
        <v>1</v>
      </c>
      <c r="B16" s="94" t="s">
        <v>926</v>
      </c>
      <c r="C16" s="513">
        <f>SUMIFS('MAIN DATASET'!R:R,'MAIN DATASET'!D:D,"Financial",'MAIN DATASET'!B:B,'AGGREGATES by country'!B16)/1000000000</f>
        <v>0</v>
      </c>
      <c r="D16" s="513">
        <f>SUMIFS('MAIN DATASET'!R:R,'MAIN DATASET'!D:D,"Humanitarian",'MAIN DATASET'!B:B,'AGGREGATES by country'!B16)/1000000000</f>
        <v>0</v>
      </c>
      <c r="E16" s="513">
        <f>SUMIFS('MAIN DATASET'!R:R,'MAIN DATASET'!D:D,"Military",'MAIN DATASET'!B:B,'AGGREGATES by country'!B16)/1000000000</f>
        <v>0.24734007386363635</v>
      </c>
      <c r="F16" s="118">
        <f t="shared" si="0"/>
        <v>0.24734007386363635</v>
      </c>
      <c r="G16" s="119">
        <f t="shared" si="1"/>
        <v>247340073.86363634</v>
      </c>
      <c r="H16" s="120">
        <v>188835200000</v>
      </c>
      <c r="I16" s="120">
        <f>H16/VLOOKUP("USD",'Currency Conversion'!B:C,2,0)</f>
        <v>178821212121.21213</v>
      </c>
      <c r="J16" s="121">
        <f t="shared" si="2"/>
        <v>0.13831696526918708</v>
      </c>
      <c r="K16" s="94">
        <f>VLOOKUP(B16,'EU aid shares'!B:E,4,0)</f>
        <v>0.16868421636024664</v>
      </c>
      <c r="L16" s="94">
        <f>VLOOKUP(B16,'EPF aid shares'!B:G,6,0)</f>
        <v>2.5059045127577353E-2</v>
      </c>
      <c r="M16" s="94">
        <f>VLOOKUP(B16,'EIB aid shares'!B:E,4,0)</f>
        <v>2.827504037741E-2</v>
      </c>
      <c r="N16" s="94">
        <f t="shared" si="3"/>
        <v>0.222018301865234</v>
      </c>
      <c r="O16" s="515">
        <f t="shared" si="4"/>
        <v>0.12415658032490079</v>
      </c>
      <c r="P16" s="167">
        <f t="shared" si="5"/>
        <v>0.46935837572887035</v>
      </c>
      <c r="Q16" s="168">
        <f t="shared" si="6"/>
        <v>0.26247354559408786</v>
      </c>
      <c r="R16" s="94">
        <f>VLOOKUP(B16,'Military aid by type'!B:F,5,0)</f>
        <v>0.24734007386363635</v>
      </c>
      <c r="S16" s="512">
        <f>VLOOKUP(B16,'Military aid by type'!B:G,6,0)</f>
        <v>0</v>
      </c>
      <c r="T16" s="512"/>
      <c r="U16" s="512"/>
      <c r="V16" s="516"/>
      <c r="W16" s="512"/>
      <c r="X16" s="512"/>
      <c r="Y16" s="512"/>
      <c r="Z16" s="512"/>
      <c r="AA16" s="512"/>
      <c r="AC16" s="517"/>
    </row>
    <row r="17" spans="1:27">
      <c r="A17" s="117">
        <v>1</v>
      </c>
      <c r="B17" s="94" t="s">
        <v>963</v>
      </c>
      <c r="C17" s="513">
        <f>SUMIFS('MAIN DATASET'!R:R,'MAIN DATASET'!D:D,"Financial",'MAIN DATASET'!B:B,'AGGREGATES by country'!B17)/1000000000</f>
        <v>0</v>
      </c>
      <c r="D17" s="513">
        <f>SUMIFS('MAIN DATASET'!R:R,'MAIN DATASET'!D:D,"Humanitarian",'MAIN DATASET'!B:B,'AGGREGATES by country'!B17)/1000000000</f>
        <v>4.5396535278737327E-2</v>
      </c>
      <c r="E17" s="513">
        <f>SUMIFS('MAIN DATASET'!R:R,'MAIN DATASET'!D:D,"Military",'MAIN DATASET'!B:B,'AGGREGATES by country'!B17)/1000000000</f>
        <v>0</v>
      </c>
      <c r="F17" s="118">
        <f t="shared" si="0"/>
        <v>4.5396535278737327E-2</v>
      </c>
      <c r="G17" s="119">
        <f t="shared" si="1"/>
        <v>45396535.278737329</v>
      </c>
      <c r="H17" s="120">
        <v>155808440000</v>
      </c>
      <c r="I17" s="120">
        <f>H17/VLOOKUP("USD",'Currency Conversion'!B:C,2,0)</f>
        <v>147545871212.12122</v>
      </c>
      <c r="J17" s="121">
        <f t="shared" si="2"/>
        <v>3.0767743553780924E-2</v>
      </c>
      <c r="K17" s="94">
        <f>VLOOKUP(B17,'EU aid shares'!B:E,4,0)</f>
        <v>0.13890505473224571</v>
      </c>
      <c r="L17" s="94">
        <f>VLOOKUP(B17,'EPF aid shares'!B:G,6,0)</f>
        <v>2.0209082911226875E-2</v>
      </c>
      <c r="M17" s="94">
        <f>VLOOKUP(B17,'EIB aid shares'!B:E,4,0)</f>
        <v>1.6804629572849533E-2</v>
      </c>
      <c r="N17" s="94">
        <f t="shared" si="3"/>
        <v>0.17591876721632213</v>
      </c>
      <c r="O17" s="515">
        <f t="shared" si="4"/>
        <v>0.1192298813725599</v>
      </c>
      <c r="P17" s="167">
        <f t="shared" si="5"/>
        <v>0.22131530249505946</v>
      </c>
      <c r="Q17" s="168">
        <f t="shared" si="6"/>
        <v>0.14999762492634081</v>
      </c>
      <c r="R17" s="94">
        <f>VLOOKUP(B17,'Military aid by type'!B:F,5,0)</f>
        <v>0</v>
      </c>
      <c r="S17" s="512">
        <f>VLOOKUP(B17,'Military aid by type'!B:G,6,0)</f>
        <v>0</v>
      </c>
      <c r="T17" s="512"/>
      <c r="U17" s="512"/>
      <c r="V17" s="516"/>
      <c r="W17" s="512"/>
      <c r="X17" s="512"/>
      <c r="Y17" s="512"/>
      <c r="Z17" s="512"/>
      <c r="AA17" s="512"/>
    </row>
    <row r="18" spans="1:27">
      <c r="A18" s="117">
        <v>1</v>
      </c>
      <c r="B18" s="94" t="s">
        <v>1006</v>
      </c>
      <c r="C18" s="513">
        <f>SUMIFS('MAIN DATASET'!R:R,'MAIN DATASET'!D:D,"Financial",'MAIN DATASET'!B:B,'AGGREGATES by country'!B18)/1000000000</f>
        <v>0</v>
      </c>
      <c r="D18" s="513">
        <f>SUMIFS('MAIN DATASET'!R:R,'MAIN DATASET'!D:D,"Humanitarian",'MAIN DATASET'!B:B,'AGGREGATES by country'!B18)/1000000000</f>
        <v>6.7688318181818183E-2</v>
      </c>
      <c r="E18" s="513">
        <f>SUMIFS('MAIN DATASET'!R:R,'MAIN DATASET'!D:D,"Military",'MAIN DATASET'!B:B,'AGGREGATES by country'!B18)/1000000000</f>
        <v>0</v>
      </c>
      <c r="F18" s="118">
        <f t="shared" si="0"/>
        <v>6.7688318181818183E-2</v>
      </c>
      <c r="G18" s="119">
        <f t="shared" si="1"/>
        <v>67688318.181818187</v>
      </c>
      <c r="H18" s="130">
        <v>425889000000</v>
      </c>
      <c r="I18" s="120">
        <f>H18/VLOOKUP("USD",'Currency Conversion'!B:C,2,0)</f>
        <v>403303977272.72723</v>
      </c>
      <c r="J18" s="121">
        <f t="shared" si="2"/>
        <v>1.6783449208596608E-2</v>
      </c>
      <c r="K18" s="94">
        <f>VLOOKUP(B18,'EU aid shares'!B:E,4,0)</f>
        <v>0.23671369103509626</v>
      </c>
      <c r="L18" s="94">
        <f>VLOOKUP(B18,'EPF aid shares'!B:G,6,0)</f>
        <v>4.2758458938346573E-2</v>
      </c>
      <c r="M18" s="94">
        <f>VLOOKUP(B18,'EIB aid shares'!B:E,4,0)</f>
        <v>1.3194994215684461E-2</v>
      </c>
      <c r="N18" s="94">
        <f t="shared" si="3"/>
        <v>0.29266714418912732</v>
      </c>
      <c r="O18" s="515">
        <f t="shared" si="4"/>
        <v>7.256738358204097E-2</v>
      </c>
      <c r="P18" s="167">
        <f t="shared" si="5"/>
        <v>0.36035546237094551</v>
      </c>
      <c r="Q18" s="168">
        <f t="shared" si="6"/>
        <v>8.9350832790637574E-2</v>
      </c>
      <c r="R18" s="94">
        <f>VLOOKUP(B18,'Military aid by type'!B:F,5,0)</f>
        <v>0</v>
      </c>
      <c r="S18" s="512">
        <f>VLOOKUP(B18,'Military aid by type'!B:G,6,0)</f>
        <v>0</v>
      </c>
      <c r="T18" s="512"/>
      <c r="U18" s="512"/>
      <c r="V18" s="516"/>
      <c r="W18" s="512"/>
      <c r="X18" s="512"/>
      <c r="Y18" s="512"/>
      <c r="Z18" s="512"/>
      <c r="AA18" s="512"/>
    </row>
    <row r="19" spans="1:27">
      <c r="A19" s="117">
        <v>1</v>
      </c>
      <c r="B19" s="94" t="s">
        <v>1036</v>
      </c>
      <c r="C19" s="513">
        <f>SUMIFS('MAIN DATASET'!R:R,'MAIN DATASET'!D:D,"Financial",'MAIN DATASET'!B:B,'AGGREGATES by country'!B19)/1000000000</f>
        <v>0.31</v>
      </c>
      <c r="D19" s="513">
        <f>SUMIFS('MAIN DATASET'!R:R,'MAIN DATASET'!D:D,"Humanitarian",'MAIN DATASET'!B:B,'AGGREGATES by country'!B19)/1000000000</f>
        <v>3.0707372159090907E-2</v>
      </c>
      <c r="E19" s="513">
        <f>SUMIFS('MAIN DATASET'!R:R,'MAIN DATASET'!D:D,"Military",'MAIN DATASET'!B:B,'AGGREGATES by country'!B19)/1000000000</f>
        <v>0.15</v>
      </c>
      <c r="F19" s="118">
        <f t="shared" si="0"/>
        <v>0.49070737215909088</v>
      </c>
      <c r="G19" s="119">
        <f t="shared" si="1"/>
        <v>490707372.15909088</v>
      </c>
      <c r="H19" s="120">
        <v>1888709440000</v>
      </c>
      <c r="I19" s="120">
        <f>H19/VLOOKUP("USD",'Currency Conversion'!B:C,2,0)</f>
        <v>1788550606060.606</v>
      </c>
      <c r="J19" s="121">
        <f t="shared" si="2"/>
        <v>2.7436035105537462E-2</v>
      </c>
      <c r="K19" s="94">
        <f>VLOOKUP(B19,'EU aid shares'!B:E,4,0)</f>
        <v>1.4335807625113257</v>
      </c>
      <c r="L19" s="94">
        <f>VLOOKUP(B19,'EPF aid shares'!B:G,6,0)</f>
        <v>0.25091642384087487</v>
      </c>
      <c r="M19" s="94">
        <f>VLOOKUP(B19,'EIB aid shares'!B:E,4,0)</f>
        <v>0.37605786289314741</v>
      </c>
      <c r="N19" s="94">
        <f t="shared" si="3"/>
        <v>2.0605550492453482</v>
      </c>
      <c r="O19" s="515">
        <f t="shared" si="4"/>
        <v>0.11520809320480166</v>
      </c>
      <c r="P19" s="167">
        <f t="shared" si="5"/>
        <v>2.5512624214044388</v>
      </c>
      <c r="Q19" s="168">
        <f t="shared" si="6"/>
        <v>0.14264412831033912</v>
      </c>
      <c r="R19" s="94">
        <f>VLOOKUP(B19,'Military aid by type'!B:F,5,0)</f>
        <v>0.15</v>
      </c>
      <c r="S19" s="512">
        <f>VLOOKUP(B19,'Military aid by type'!B:G,6,0)</f>
        <v>0</v>
      </c>
      <c r="T19" s="512"/>
      <c r="U19" s="512"/>
      <c r="V19" s="516"/>
      <c r="W19" s="512"/>
      <c r="X19" s="512"/>
      <c r="Y19" s="512"/>
      <c r="Z19" s="512"/>
      <c r="AA19" s="512"/>
    </row>
    <row r="20" spans="1:27">
      <c r="A20" s="125">
        <v>0</v>
      </c>
      <c r="B20" s="126" t="s">
        <v>1080</v>
      </c>
      <c r="C20" s="513">
        <f>SUMIFS('MAIN DATASET'!R:R,'MAIN DATASET'!D:D,"Financial",'MAIN DATASET'!B:B,'AGGREGATES by country'!B20)/1000000000</f>
        <v>0.56818181818181812</v>
      </c>
      <c r="D20" s="513">
        <f>SUMIFS('MAIN DATASET'!R:R,'MAIN DATASET'!D:D,"Humanitarian",'MAIN DATASET'!B:B,'AGGREGATES by country'!B20)/1000000000</f>
        <v>9.8446969696969686E-2</v>
      </c>
      <c r="E20" s="513">
        <f>SUMIFS('MAIN DATASET'!R:R,'MAIN DATASET'!D:D,"Military",'MAIN DATASET'!B:B,'AGGREGATES by country'!B20)/1000000000</f>
        <v>0</v>
      </c>
      <c r="F20" s="118">
        <f t="shared" si="0"/>
        <v>0.66662878787878777</v>
      </c>
      <c r="G20" s="127">
        <f t="shared" si="1"/>
        <v>666628787.87878776</v>
      </c>
      <c r="H20" s="128">
        <v>5057758960000</v>
      </c>
      <c r="I20" s="128">
        <f>H20/VLOOKUP("USD",'Currency Conversion'!B:C,2,0)</f>
        <v>4789544469696.9697</v>
      </c>
      <c r="J20" s="129">
        <f t="shared" si="2"/>
        <v>1.3918417337942888E-2</v>
      </c>
      <c r="K20" s="94">
        <f>VLOOKUP(B20,'EU aid shares'!B:E,4,0)</f>
        <v>0</v>
      </c>
      <c r="L20" s="94">
        <f>VLOOKUP(B20,'EPF aid shares'!B:G,6,0)</f>
        <v>0</v>
      </c>
      <c r="M20" s="94">
        <f>VLOOKUP(B20,'EIB aid shares'!B:E,4,0)</f>
        <v>0</v>
      </c>
      <c r="N20" s="94">
        <f t="shared" si="3"/>
        <v>0</v>
      </c>
      <c r="O20" s="515">
        <f t="shared" si="4"/>
        <v>0</v>
      </c>
      <c r="P20" s="167">
        <f t="shared" si="5"/>
        <v>0.66662878787878777</v>
      </c>
      <c r="Q20" s="168">
        <f t="shared" si="6"/>
        <v>1.3918417337942888E-2</v>
      </c>
      <c r="R20" s="94">
        <f>VLOOKUP(B20,'Military aid by type'!B:F,5,0)</f>
        <v>0</v>
      </c>
      <c r="S20" s="512">
        <f>VLOOKUP(B20,'Military aid by type'!B:G,6,0)</f>
        <v>0</v>
      </c>
      <c r="T20" s="512"/>
      <c r="U20" s="512"/>
      <c r="V20" s="516"/>
      <c r="W20" s="512"/>
      <c r="X20" s="512"/>
      <c r="Y20" s="512"/>
      <c r="Z20" s="512"/>
      <c r="AA20" s="512"/>
    </row>
    <row r="21" spans="1:27">
      <c r="A21" s="117">
        <v>1</v>
      </c>
      <c r="B21" s="94" t="s">
        <v>1119</v>
      </c>
      <c r="C21" s="513">
        <f>SUMIFS('MAIN DATASET'!R:R,'MAIN DATASET'!D:D,"Financial",'MAIN DATASET'!B:B,'AGGREGATES by country'!B21)/1000000000</f>
        <v>1.4999999999999999E-2</v>
      </c>
      <c r="D21" s="513">
        <f>SUMIFS('MAIN DATASET'!R:R,'MAIN DATASET'!D:D,"Humanitarian",'MAIN DATASET'!B:B,'AGGREGATES by country'!B21)/1000000000</f>
        <v>1.3674169999999999E-3</v>
      </c>
      <c r="E21" s="513">
        <f>SUMIFS('MAIN DATASET'!R:R,'MAIN DATASET'!D:D,"Military",'MAIN DATASET'!B:B,'AGGREGATES by country'!B21)/1000000000</f>
        <v>0.21879999999999999</v>
      </c>
      <c r="F21" s="118">
        <f t="shared" si="0"/>
        <v>0.23516741699999999</v>
      </c>
      <c r="G21" s="119">
        <f t="shared" si="1"/>
        <v>235167417</v>
      </c>
      <c r="H21" s="120">
        <v>33707320000</v>
      </c>
      <c r="I21" s="120">
        <f>H21/VLOOKUP("USD",'Currency Conversion'!B:C,2,0)</f>
        <v>31919810606.060604</v>
      </c>
      <c r="J21" s="121">
        <f t="shared" si="2"/>
        <v>0.73674439959035609</v>
      </c>
      <c r="K21" s="94">
        <f>VLOOKUP(B21,'EU aid shares'!B:E,4,0)</f>
        <v>2.3935830223126776E-2</v>
      </c>
      <c r="L21" s="94">
        <f>VLOOKUP(B21,'EPF aid shares'!B:G,6,0)</f>
        <v>4.4360396490369285E-3</v>
      </c>
      <c r="M21" s="94">
        <f>VLOOKUP(B21,'EIB aid shares'!B:E,4,0)</f>
        <v>2.1496355379410164E-3</v>
      </c>
      <c r="N21" s="94">
        <f t="shared" si="3"/>
        <v>3.0521505410104718E-2</v>
      </c>
      <c r="O21" s="515">
        <f t="shared" si="4"/>
        <v>9.5619318631889411E-2</v>
      </c>
      <c r="P21" s="167">
        <f t="shared" si="5"/>
        <v>0.26568892241010472</v>
      </c>
      <c r="Q21" s="168">
        <f t="shared" si="6"/>
        <v>0.83236371822224542</v>
      </c>
      <c r="R21" s="94">
        <f>VLOOKUP(B21,'Military aid by type'!B:F,5,0)</f>
        <v>0.21879999999999999</v>
      </c>
      <c r="S21" s="512">
        <f>VLOOKUP(B21,'Military aid by type'!B:G,6,0)</f>
        <v>0</v>
      </c>
      <c r="T21" s="512"/>
      <c r="U21" s="512"/>
      <c r="V21" s="516"/>
      <c r="W21" s="512"/>
      <c r="X21" s="512"/>
      <c r="Y21" s="512"/>
      <c r="Z21" s="512"/>
      <c r="AA21" s="512"/>
    </row>
    <row r="22" spans="1:27">
      <c r="A22" s="117">
        <v>1</v>
      </c>
      <c r="B22" s="94" t="s">
        <v>1147</v>
      </c>
      <c r="C22" s="513">
        <f>SUMIFS('MAIN DATASET'!R:R,'MAIN DATASET'!D:D,"Financial",'MAIN DATASET'!B:B,'AGGREGATES by country'!B22)/1000000000</f>
        <v>5.0000000000000001E-3</v>
      </c>
      <c r="D22" s="513">
        <f>SUMIFS('MAIN DATASET'!R:R,'MAIN DATASET'!D:D,"Humanitarian",'MAIN DATASET'!B:B,'AGGREGATES by country'!B22)/1000000000</f>
        <v>4.2000000000000003E-2</v>
      </c>
      <c r="E22" s="513">
        <f>SUMIFS('MAIN DATASET'!R:R,'MAIN DATASET'!D:D,"Military",'MAIN DATASET'!B:B,'AGGREGATES by country'!B22)/1000000000</f>
        <v>5.45E-2</v>
      </c>
      <c r="F22" s="118">
        <f t="shared" si="0"/>
        <v>0.10150000000000001</v>
      </c>
      <c r="G22" s="119">
        <f t="shared" si="1"/>
        <v>101500000</v>
      </c>
      <c r="H22" s="120">
        <v>56546960000</v>
      </c>
      <c r="I22" s="120">
        <f>H22/VLOOKUP("USD",'Currency Conversion'!B:C,2,0)</f>
        <v>53548257575.757576</v>
      </c>
      <c r="J22" s="121">
        <f t="shared" si="2"/>
        <v>0.18954865124491221</v>
      </c>
      <c r="K22" s="94">
        <f>VLOOKUP(B22,'EU aid shares'!B:E,4,0)</f>
        <v>3.8325873366739295E-2</v>
      </c>
      <c r="L22" s="94">
        <f>VLOOKUP(B22,'EPF aid shares'!B:G,6,0)</f>
        <v>7.152905203514125E-3</v>
      </c>
      <c r="M22" s="94">
        <f>VLOOKUP(B22,'EIB aid shares'!B:E,4,0)</f>
        <v>3.5224114686203721E-3</v>
      </c>
      <c r="N22" s="94">
        <f t="shared" si="3"/>
        <v>4.9001190038873793E-2</v>
      </c>
      <c r="O22" s="515">
        <f t="shared" si="4"/>
        <v>9.1508467795705956E-2</v>
      </c>
      <c r="P22" s="167">
        <f t="shared" si="5"/>
        <v>0.1505011900388738</v>
      </c>
      <c r="Q22" s="168">
        <f t="shared" si="6"/>
        <v>0.28105711904061814</v>
      </c>
      <c r="R22" s="94">
        <f>VLOOKUP(B22,'Military aid by type'!B:F,5,0)</f>
        <v>5.45E-2</v>
      </c>
      <c r="S22" s="512">
        <f>VLOOKUP(B22,'Military aid by type'!B:G,6,0)</f>
        <v>0</v>
      </c>
      <c r="T22" s="512"/>
      <c r="U22" s="512"/>
      <c r="V22" s="512"/>
      <c r="W22" s="512"/>
      <c r="X22" s="512"/>
      <c r="Y22" s="512"/>
      <c r="Z22" s="512"/>
      <c r="AA22" s="512"/>
    </row>
    <row r="23" spans="1:27">
      <c r="A23" s="117">
        <v>1</v>
      </c>
      <c r="B23" s="94" t="s">
        <v>1187</v>
      </c>
      <c r="C23" s="513">
        <f>SUMIFS('MAIN DATASET'!R:R,'MAIN DATASET'!D:D,"Financial",'MAIN DATASET'!B:B,'AGGREGATES by country'!B23)/1000000000</f>
        <v>0</v>
      </c>
      <c r="D23" s="513">
        <f>SUMIFS('MAIN DATASET'!R:R,'MAIN DATASET'!D:D,"Humanitarian",'MAIN DATASET'!B:B,'AGGREGATES by country'!B23)/1000000000</f>
        <v>4.0000000000000001E-3</v>
      </c>
      <c r="E23" s="513">
        <f>SUMIFS('MAIN DATASET'!R:R,'MAIN DATASET'!D:D,"Military",'MAIN DATASET'!B:B,'AGGREGATES by country'!B23)/1000000000</f>
        <v>0.05</v>
      </c>
      <c r="F23" s="118">
        <f t="shared" si="0"/>
        <v>5.4000000000000006E-2</v>
      </c>
      <c r="G23" s="119">
        <f t="shared" si="1"/>
        <v>54000000.000000007</v>
      </c>
      <c r="H23" s="120">
        <v>73353130000</v>
      </c>
      <c r="I23" s="120">
        <f>H23/VLOOKUP("USD",'Currency Conversion'!B:C,2,0)</f>
        <v>69463191287.878784</v>
      </c>
      <c r="J23" s="121">
        <f t="shared" si="2"/>
        <v>7.7739013999811618E-2</v>
      </c>
      <c r="K23" s="94">
        <f>VLOOKUP(B23,'EU aid shares'!B:E,4,0)</f>
        <v>3.7570270167833153E-2</v>
      </c>
      <c r="L23" s="94">
        <f>VLOOKUP(B23,'EPF aid shares'!B:G,6,0)</f>
        <v>6.6700818736240243E-3</v>
      </c>
      <c r="M23" s="94">
        <f>VLOOKUP(B23,'EIB aid shares'!B:E,4,0)</f>
        <v>2.6390189924416279E-3</v>
      </c>
      <c r="N23" s="94">
        <f t="shared" si="3"/>
        <v>4.6879371033898803E-2</v>
      </c>
      <c r="O23" s="515">
        <f t="shared" si="4"/>
        <v>6.7488075576048537E-2</v>
      </c>
      <c r="P23" s="167">
        <f t="shared" si="5"/>
        <v>0.10087937103389881</v>
      </c>
      <c r="Q23" s="168">
        <f t="shared" si="6"/>
        <v>0.14522708957586014</v>
      </c>
      <c r="R23" s="94">
        <f>VLOOKUP(B23,'Military aid by type'!B:F,5,0)</f>
        <v>0.05</v>
      </c>
      <c r="S23" s="512">
        <f>VLOOKUP(B23,'Military aid by type'!B:G,6,0)</f>
        <v>0</v>
      </c>
      <c r="T23" s="512"/>
      <c r="W23" s="512"/>
      <c r="X23" s="512"/>
      <c r="Y23" s="512"/>
      <c r="Z23" s="512"/>
      <c r="AA23" s="512"/>
    </row>
    <row r="24" spans="1:27">
      <c r="A24" s="125">
        <v>1</v>
      </c>
      <c r="B24" s="126" t="s">
        <v>1207</v>
      </c>
      <c r="C24" s="513">
        <f>SUMIFS('MAIN DATASET'!R:R,'MAIN DATASET'!D:D,"Financial",'MAIN DATASET'!B:B,'AGGREGATES by country'!B24)/1000000000</f>
        <v>0</v>
      </c>
      <c r="D24" s="513">
        <f>SUMIFS('MAIN DATASET'!R:R,'MAIN DATASET'!D:D,"Humanitarian",'MAIN DATASET'!B:B,'AGGREGATES by country'!B24)/1000000000</f>
        <v>1.15E-3</v>
      </c>
      <c r="E24" s="513">
        <f>SUMIFS('MAIN DATASET'!R:R,'MAIN DATASET'!D:D,"Military",'MAIN DATASET'!B:B,'AGGREGATES by country'!B24)/1000000000</f>
        <v>0</v>
      </c>
      <c r="F24" s="118">
        <f t="shared" si="0"/>
        <v>1.15E-3</v>
      </c>
      <c r="G24" s="127">
        <f t="shared" si="1"/>
        <v>1150000</v>
      </c>
      <c r="H24" s="128">
        <v>14647380000</v>
      </c>
      <c r="I24" s="128">
        <f>H24/VLOOKUP("USD",'Currency Conversion'!B:C,2,0)</f>
        <v>13870625000</v>
      </c>
      <c r="J24" s="129">
        <f t="shared" si="2"/>
        <v>8.2909025368359396E-3</v>
      </c>
      <c r="K24" s="94">
        <f>VLOOKUP(B24,'EU aid shares'!B:E,4,0)</f>
        <v>9.7808636302850558E-3</v>
      </c>
      <c r="L24" s="94">
        <f>VLOOKUP(B24,'EPF aid shares'!B:G,6,0)</f>
        <v>1.7382590970945102E-3</v>
      </c>
      <c r="M24" s="94">
        <f>VLOOKUP(B24,'EIB aid shares'!B:E,4,0)</f>
        <v>9.8502254614655517E-4</v>
      </c>
      <c r="N24" s="94">
        <f t="shared" si="3"/>
        <v>1.2504145273526121E-2</v>
      </c>
      <c r="O24" s="515">
        <f t="shared" si="4"/>
        <v>9.0148391103689426E-2</v>
      </c>
      <c r="P24" s="167">
        <f t="shared" si="5"/>
        <v>1.3654145273526121E-2</v>
      </c>
      <c r="Q24" s="168">
        <f t="shared" si="6"/>
        <v>9.8439293640525366E-2</v>
      </c>
      <c r="R24" s="94">
        <f>VLOOKUP(B24,'Military aid by type'!B:F,5,0)</f>
        <v>0</v>
      </c>
      <c r="S24" s="512">
        <f>VLOOKUP(B24,'Military aid by type'!B:G,6,0)</f>
        <v>0</v>
      </c>
      <c r="W24" s="512"/>
      <c r="X24" s="512"/>
      <c r="Y24" s="512"/>
      <c r="Z24" s="512"/>
      <c r="AA24" s="512"/>
    </row>
    <row r="25" spans="1:27">
      <c r="A25" s="117">
        <v>1</v>
      </c>
      <c r="B25" s="94" t="s">
        <v>1215</v>
      </c>
      <c r="C25" s="513">
        <f>SUMIFS('MAIN DATASET'!R:R,'MAIN DATASET'!D:D,"Financial",'MAIN DATASET'!B:B,'AGGREGATES by country'!B25)/1000000000</f>
        <v>0.08</v>
      </c>
      <c r="D25" s="513">
        <f>SUMIFS('MAIN DATASET'!R:R,'MAIN DATASET'!D:D,"Humanitarian",'MAIN DATASET'!B:B,'AGGREGATES by country'!B25)/1000000000</f>
        <v>2.6948863636363635E-2</v>
      </c>
      <c r="E25" s="513">
        <f>SUMIFS('MAIN DATASET'!R:R,'MAIN DATASET'!D:D,"Military",'MAIN DATASET'!B:B,'AGGREGATES by country'!B25)/1000000000</f>
        <v>8.4090909090909091E-2</v>
      </c>
      <c r="F25" s="118">
        <f t="shared" si="0"/>
        <v>0.19103977272727274</v>
      </c>
      <c r="G25" s="119">
        <f t="shared" si="1"/>
        <v>191039772.72727275</v>
      </c>
      <c r="H25" s="120">
        <v>913865400000</v>
      </c>
      <c r="I25" s="120">
        <f>H25/VLOOKUP("USD",'Currency Conversion'!B:C,2,0)</f>
        <v>865402840909.09082</v>
      </c>
      <c r="J25" s="121">
        <f t="shared" si="2"/>
        <v>2.2075242152728405E-2</v>
      </c>
      <c r="K25" s="94">
        <f>VLOOKUP(B25,'EU aid shares'!B:E,4,0)</f>
        <v>0.92689844409816391</v>
      </c>
      <c r="L25" s="94">
        <f>VLOOKUP(B25,'EPF aid shares'!B:G,6,0)</f>
        <v>0.11619439168987887</v>
      </c>
      <c r="M25" s="94">
        <f>VLOOKUP(B25,'EIB aid shares'!B:E,4,0)</f>
        <v>0.10424062413548618</v>
      </c>
      <c r="N25" s="94">
        <f t="shared" si="3"/>
        <v>1.1473334599235288</v>
      </c>
      <c r="O25" s="515">
        <f t="shared" si="4"/>
        <v>0.13257796319668591</v>
      </c>
      <c r="P25" s="167">
        <f t="shared" si="5"/>
        <v>1.3383732326508015</v>
      </c>
      <c r="Q25" s="168">
        <f t="shared" si="6"/>
        <v>0.15465320534941432</v>
      </c>
      <c r="R25" s="94">
        <f>VLOOKUP(B25,'Military aid by type'!B:F,5,0)</f>
        <v>8.4090909090909091E-2</v>
      </c>
      <c r="S25" s="512">
        <f>VLOOKUP(B25,'Military aid by type'!B:G,6,0)</f>
        <v>0</v>
      </c>
      <c r="T25" s="512"/>
      <c r="U25" s="512"/>
      <c r="V25" s="512"/>
      <c r="W25" s="512"/>
      <c r="X25" s="512"/>
      <c r="Y25" s="512"/>
      <c r="Z25" s="512"/>
      <c r="AA25" s="512"/>
    </row>
    <row r="26" spans="1:27">
      <c r="A26" s="117">
        <v>0</v>
      </c>
      <c r="B26" s="512" t="s">
        <v>1273</v>
      </c>
      <c r="C26" s="513">
        <f>SUMIFS('MAIN DATASET'!R:R,'MAIN DATASET'!D:D,"Financial",'MAIN DATASET'!B:B,'AGGREGATES by country'!B26)/1000000000</f>
        <v>0</v>
      </c>
      <c r="D26" s="513">
        <f>SUMIFS('MAIN DATASET'!R:R,'MAIN DATASET'!D:D,"Humanitarian",'MAIN DATASET'!B:B,'AGGREGATES by country'!B26)/1000000000</f>
        <v>2.4019696150843692E-3</v>
      </c>
      <c r="E26" s="513">
        <f>SUMIFS('MAIN DATASET'!R:R,'MAIN DATASET'!D:D,"Military",'MAIN DATASET'!B:B,'AGGREGATES by country'!B26)/1000000000</f>
        <v>1.3818429492297321E-2</v>
      </c>
      <c r="F26" s="118">
        <f t="shared" si="0"/>
        <v>1.622039910738169E-2</v>
      </c>
      <c r="G26" s="119">
        <f t="shared" si="1"/>
        <v>16220399.10738169</v>
      </c>
      <c r="H26" s="514">
        <v>210700848973.509</v>
      </c>
      <c r="I26" s="120">
        <f>H26/VLOOKUP("USD",'Currency Conversion'!B:C,2,0)</f>
        <v>199527319103.70169</v>
      </c>
      <c r="J26" s="121">
        <f t="shared" si="2"/>
        <v>8.1294126439654876E-3</v>
      </c>
      <c r="K26" s="94">
        <f>VLOOKUP(B26,'EU aid shares'!B:E,4,0)</f>
        <v>0</v>
      </c>
      <c r="L26" s="94">
        <f>VLOOKUP(B26,'EPF aid shares'!B:G,6,0)</f>
        <v>0</v>
      </c>
      <c r="M26" s="94">
        <f>VLOOKUP(B26,'EIB aid shares'!B:E,4,0)</f>
        <v>0</v>
      </c>
      <c r="N26" s="94">
        <f t="shared" si="3"/>
        <v>0</v>
      </c>
      <c r="O26" s="515">
        <f t="shared" si="4"/>
        <v>0</v>
      </c>
      <c r="P26" s="167">
        <f t="shared" si="5"/>
        <v>1.622039910738169E-2</v>
      </c>
      <c r="Q26" s="168">
        <f t="shared" si="6"/>
        <v>8.1294126439654876E-3</v>
      </c>
      <c r="R26" s="94">
        <f>VLOOKUP(B26,'Military aid by type'!B:F,5,0)</f>
        <v>3.6100586281887508E-3</v>
      </c>
      <c r="S26" s="512">
        <f>VLOOKUP(B26,'Military aid by type'!B:G,6,0)</f>
        <v>1.0208370864108571E-2</v>
      </c>
      <c r="T26" s="512"/>
      <c r="U26" s="512"/>
      <c r="V26" s="512"/>
      <c r="W26" s="512"/>
      <c r="X26" s="512"/>
      <c r="Y26" s="512"/>
      <c r="Z26" s="512"/>
      <c r="AA26" s="512"/>
    </row>
    <row r="27" spans="1:27">
      <c r="A27" s="117">
        <v>0</v>
      </c>
      <c r="B27" s="512" t="s">
        <v>1306</v>
      </c>
      <c r="C27" s="513">
        <f>SUMIFS('MAIN DATASET'!R:R,'MAIN DATASET'!D:D,"Financial",'MAIN DATASET'!B:B,'AGGREGATES by country'!B27)/1000000000</f>
        <v>3.3980252618906609E-2</v>
      </c>
      <c r="D27" s="513">
        <f>SUMIFS('MAIN DATASET'!R:R,'MAIN DATASET'!D:D,"Humanitarian",'MAIN DATASET'!B:B,'AGGREGATES by country'!B27)/1000000000</f>
        <v>3.543654915971689E-2</v>
      </c>
      <c r="E27" s="513">
        <f>SUMIFS('MAIN DATASET'!R:R,'MAIN DATASET'!D:D,"Military",'MAIN DATASET'!B:B,'AGGREGATES by country'!B27)/1000000000</f>
        <v>0.49368447972463786</v>
      </c>
      <c r="F27" s="118">
        <f t="shared" si="0"/>
        <v>0.56310128150326133</v>
      </c>
      <c r="G27" s="119">
        <f t="shared" si="1"/>
        <v>563101281.50326133</v>
      </c>
      <c r="H27" s="514">
        <v>362198318435.26001</v>
      </c>
      <c r="I27" s="120">
        <f>H27/VLOOKUP("USD",'Currency Conversion'!B:C,2,0)</f>
        <v>342990831851.57196</v>
      </c>
      <c r="J27" s="121">
        <f t="shared" si="2"/>
        <v>0.16417385807762389</v>
      </c>
      <c r="K27" s="94">
        <f>VLOOKUP(B27,'EU aid shares'!B:E,4,0)</f>
        <v>0</v>
      </c>
      <c r="L27" s="94">
        <f>VLOOKUP(B27,'EPF aid shares'!B:G,6,0)</f>
        <v>0</v>
      </c>
      <c r="M27" s="94">
        <f>VLOOKUP(B27,'EIB aid shares'!B:E,4,0)</f>
        <v>0</v>
      </c>
      <c r="N27" s="94">
        <f t="shared" si="3"/>
        <v>0</v>
      </c>
      <c r="O27" s="515">
        <f t="shared" si="4"/>
        <v>0</v>
      </c>
      <c r="P27" s="167">
        <f t="shared" si="5"/>
        <v>0.56310128150326133</v>
      </c>
      <c r="Q27" s="168">
        <f t="shared" si="6"/>
        <v>0.16417385807762389</v>
      </c>
      <c r="R27" s="94">
        <f>VLOOKUP(B27,'Military aid by type'!B:F,5,0)</f>
        <v>0.45484990530303021</v>
      </c>
      <c r="S27" s="512">
        <f>VLOOKUP(B27,'Military aid by type'!B:G,6,0)</f>
        <v>3.8834574421607648E-2</v>
      </c>
      <c r="T27" s="512"/>
      <c r="U27" s="512"/>
      <c r="V27" s="516"/>
      <c r="W27" s="512"/>
      <c r="X27" s="512"/>
      <c r="Y27" s="512"/>
      <c r="Z27" s="512"/>
      <c r="AA27" s="512"/>
    </row>
    <row r="28" spans="1:27">
      <c r="A28" s="117">
        <v>1</v>
      </c>
      <c r="B28" s="94" t="s">
        <v>1364</v>
      </c>
      <c r="C28" s="513">
        <f>SUMIFS('MAIN DATASET'!R:R,'MAIN DATASET'!D:D,"Financial",'MAIN DATASET'!B:B,'AGGREGATES by country'!B28)/1000000000</f>
        <v>0.9534211711315429</v>
      </c>
      <c r="D28" s="513">
        <f>SUMIFS('MAIN DATASET'!R:R,'MAIN DATASET'!D:D,"Humanitarian",'MAIN DATASET'!B:B,'AGGREGATES by country'!B28)/1000000000</f>
        <v>0.10284090909090909</v>
      </c>
      <c r="E28" s="513">
        <f>SUMIFS('MAIN DATASET'!R:R,'MAIN DATASET'!D:D,"Military",'MAIN DATASET'!B:B,'AGGREGATES by country'!B28)/1000000000</f>
        <v>1.8</v>
      </c>
      <c r="F28" s="118">
        <f t="shared" si="0"/>
        <v>2.8562620802224519</v>
      </c>
      <c r="G28" s="119">
        <f t="shared" si="1"/>
        <v>2856262080.2224517</v>
      </c>
      <c r="H28" s="120">
        <v>596624360000</v>
      </c>
      <c r="I28" s="120">
        <f>H28/VLOOKUP("USD",'Currency Conversion'!B:C,2,0)</f>
        <v>564985189393.93933</v>
      </c>
      <c r="J28" s="121">
        <f t="shared" si="2"/>
        <v>0.50554636366421735</v>
      </c>
      <c r="K28" s="94">
        <f>VLOOKUP(B28,'EU aid shares'!B:E,4,0)</f>
        <v>0.49078946446283589</v>
      </c>
      <c r="L28" s="94">
        <f>VLOOKUP(B28,'EPF aid shares'!B:G,6,0)</f>
        <v>7.545659478928643E-2</v>
      </c>
      <c r="M28" s="94">
        <f>VLOOKUP(B28,'EIB aid shares'!B:E,4,0)</f>
        <v>9.1487854785372302E-2</v>
      </c>
      <c r="N28" s="94">
        <f t="shared" si="3"/>
        <v>0.6577339140374947</v>
      </c>
      <c r="O28" s="515">
        <f t="shared" si="4"/>
        <v>0.11641613380043592</v>
      </c>
      <c r="P28" s="167">
        <f t="shared" si="5"/>
        <v>3.5139959942599468</v>
      </c>
      <c r="Q28" s="168">
        <f t="shared" si="6"/>
        <v>0.62196249746465337</v>
      </c>
      <c r="R28" s="94">
        <f>VLOOKUP(B28,'Military aid by type'!B:F,5,0)</f>
        <v>1.8</v>
      </c>
      <c r="S28" s="512">
        <f>VLOOKUP(B28,'Military aid by type'!B:G,6,0)</f>
        <v>0</v>
      </c>
      <c r="T28" s="512"/>
      <c r="U28" s="512"/>
      <c r="V28" s="516"/>
      <c r="W28" s="512"/>
      <c r="X28" s="512"/>
      <c r="Y28" s="512"/>
      <c r="Z28" s="512"/>
      <c r="AA28" s="512"/>
    </row>
    <row r="29" spans="1:27">
      <c r="A29" s="117">
        <v>1</v>
      </c>
      <c r="B29" s="94" t="s">
        <v>1408</v>
      </c>
      <c r="C29" s="513">
        <f>SUMIFS('MAIN DATASET'!R:R,'MAIN DATASET'!D:D,"Financial",'MAIN DATASET'!B:B,'AGGREGATES by country'!B29)/1000000000</f>
        <v>0.25</v>
      </c>
      <c r="D29" s="513">
        <f>SUMIFS('MAIN DATASET'!R:R,'MAIN DATASET'!D:D,"Humanitarian",'MAIN DATASET'!B:B,'AGGREGATES by country'!B29)/1000000000</f>
        <v>1.1999999999999999E-3</v>
      </c>
      <c r="E29" s="513">
        <f>SUMIFS('MAIN DATASET'!R:R,'MAIN DATASET'!D:D,"Military",'MAIN DATASET'!B:B,'AGGREGATES by country'!B29)/1000000000</f>
        <v>8.7285984848484849E-3</v>
      </c>
      <c r="F29" s="118">
        <f t="shared" si="0"/>
        <v>0.25992859848484845</v>
      </c>
      <c r="G29" s="119">
        <f t="shared" si="1"/>
        <v>259928598.48484844</v>
      </c>
      <c r="H29" s="130">
        <v>228539000000</v>
      </c>
      <c r="I29" s="120">
        <f>H29/VLOOKUP("USD",'Currency Conversion'!B:C,2,0)</f>
        <v>216419507575.75757</v>
      </c>
      <c r="J29" s="121">
        <f t="shared" si="2"/>
        <v>0.1201040522624147</v>
      </c>
      <c r="K29" s="94">
        <f>VLOOKUP(B29,'EU aid shares'!B:E,4,0)</f>
        <v>0.16993515943399126</v>
      </c>
      <c r="L29" s="94">
        <f>VLOOKUP(B29,'EPF aid shares'!B:G,6,0)</f>
        <v>2.9291693614073126E-2</v>
      </c>
      <c r="M29" s="94">
        <f>VLOOKUP(B29,'EIB aid shares'!B:E,4,0)</f>
        <v>1.8221655482288625E-2</v>
      </c>
      <c r="N29" s="94">
        <f t="shared" si="3"/>
        <v>0.21744850853035302</v>
      </c>
      <c r="O29" s="515">
        <f t="shared" si="4"/>
        <v>0.10047546589774736</v>
      </c>
      <c r="P29" s="167">
        <f t="shared" si="5"/>
        <v>0.47737710701520147</v>
      </c>
      <c r="Q29" s="168">
        <f t="shared" si="6"/>
        <v>0.22057951816016208</v>
      </c>
      <c r="R29" s="94">
        <f>VLOOKUP(B29,'Military aid by type'!B:F,5,0)</f>
        <v>8.7285984848484849E-3</v>
      </c>
      <c r="S29" s="512">
        <f>VLOOKUP(B29,'Military aid by type'!B:G,6,0)</f>
        <v>0</v>
      </c>
      <c r="T29" s="512"/>
      <c r="U29" s="512"/>
      <c r="V29" s="516"/>
      <c r="W29" s="512"/>
      <c r="X29" s="512"/>
      <c r="Y29" s="512"/>
      <c r="Z29" s="512"/>
      <c r="AA29" s="512"/>
    </row>
    <row r="30" spans="1:27">
      <c r="A30" s="117">
        <v>0</v>
      </c>
      <c r="B30" s="512" t="s">
        <v>1449</v>
      </c>
      <c r="C30" s="513">
        <f>SUMIFS('MAIN DATASET'!R:R,'MAIN DATASET'!D:D,"Financial",'MAIN DATASET'!B:B,'AGGREGATES by country'!B30)/1000000000</f>
        <v>0</v>
      </c>
      <c r="D30" s="513">
        <f>SUMIFS('MAIN DATASET'!R:R,'MAIN DATASET'!D:D,"Humanitarian",'MAIN DATASET'!B:B,'AGGREGATES by country'!B30)/1000000000</f>
        <v>3.901515151515151E-2</v>
      </c>
      <c r="E30" s="513">
        <f>SUMIFS('MAIN DATASET'!R:R,'MAIN DATASET'!D:D,"Military",'MAIN DATASET'!B:B,'AGGREGATES by country'!B30)/1000000000</f>
        <v>3.3901515151515149E-3</v>
      </c>
      <c r="F30" s="118">
        <f t="shared" si="0"/>
        <v>4.2405303030303022E-2</v>
      </c>
      <c r="G30" s="119">
        <f t="shared" si="1"/>
        <v>42405303.030303024</v>
      </c>
      <c r="H30" s="514">
        <v>1637895802792.8999</v>
      </c>
      <c r="I30" s="120">
        <f>H30/VLOOKUP("USD",'Currency Conversion'!B:C,2,0)</f>
        <v>1551037692038.731</v>
      </c>
      <c r="J30" s="121">
        <f t="shared" si="2"/>
        <v>2.7339956500066873E-3</v>
      </c>
      <c r="K30" s="94">
        <f>VLOOKUP(B30,'EU aid shares'!B:E,4,0)</f>
        <v>0</v>
      </c>
      <c r="L30" s="94">
        <f>VLOOKUP(B30,'EPF aid shares'!B:G,6,0)</f>
        <v>0</v>
      </c>
      <c r="M30" s="94">
        <f>VLOOKUP(B30,'EIB aid shares'!B:E,4,0)</f>
        <v>0</v>
      </c>
      <c r="N30" s="94">
        <f t="shared" si="3"/>
        <v>0</v>
      </c>
      <c r="O30" s="515">
        <f t="shared" si="4"/>
        <v>0</v>
      </c>
      <c r="P30" s="167">
        <f t="shared" si="5"/>
        <v>4.2405303030303022E-2</v>
      </c>
      <c r="Q30" s="168">
        <f t="shared" si="6"/>
        <v>2.7339956500066873E-3</v>
      </c>
      <c r="R30" s="94">
        <f>VLOOKUP(B30,'Military aid by type'!B:F,5,0)</f>
        <v>3.3901515151515149E-3</v>
      </c>
      <c r="S30" s="512">
        <f>VLOOKUP(B30,'Military aid by type'!B:G,6,0)</f>
        <v>0</v>
      </c>
      <c r="T30" s="512"/>
      <c r="U30" s="512"/>
      <c r="V30" s="516"/>
      <c r="W30" s="512"/>
      <c r="X30" s="512"/>
      <c r="Y30" s="512"/>
      <c r="Z30" s="512"/>
      <c r="AA30" s="512"/>
    </row>
    <row r="31" spans="1:27">
      <c r="A31" s="117">
        <v>1</v>
      </c>
      <c r="B31" s="94" t="s">
        <v>1478</v>
      </c>
      <c r="C31" s="513">
        <f>SUMIFS('MAIN DATASET'!R:R,'MAIN DATASET'!D:D,"Financial",'MAIN DATASET'!B:B,'AGGREGATES by country'!B31)/1000000000</f>
        <v>0</v>
      </c>
      <c r="D31" s="513">
        <f>SUMIFS('MAIN DATASET'!R:R,'MAIN DATASET'!D:D,"Humanitarian",'MAIN DATASET'!B:B,'AGGREGATES by country'!B31)/1000000000</f>
        <v>6.6393374717699802E-3</v>
      </c>
      <c r="E31" s="513">
        <f>SUMIFS('MAIN DATASET'!R:R,'MAIN DATASET'!D:D,"Military",'MAIN DATASET'!B:B,'AGGREGATES by country'!B31)/1000000000</f>
        <v>3.0000000000000001E-3</v>
      </c>
      <c r="F31" s="118">
        <f t="shared" si="0"/>
        <v>9.6393374717699803E-3</v>
      </c>
      <c r="G31" s="119">
        <f t="shared" si="1"/>
        <v>9639337.4717699811</v>
      </c>
      <c r="H31" s="120">
        <v>248715550000</v>
      </c>
      <c r="I31" s="120">
        <f>H31/VLOOKUP("USD",'Currency Conversion'!B:C,2,0)</f>
        <v>235526089015.15149</v>
      </c>
      <c r="J31" s="121">
        <f t="shared" si="2"/>
        <v>4.0926835375548901E-3</v>
      </c>
      <c r="K31" s="94">
        <f>VLOOKUP(B31,'EU aid shares'!B:E,4,0)</f>
        <v>0.19463498844712315</v>
      </c>
      <c r="L31" s="94">
        <f>VLOOKUP(B31,'EPF aid shares'!B:G,6,0)</f>
        <v>3.165883290943472E-2</v>
      </c>
      <c r="M31" s="94">
        <f>VLOOKUP(B31,'EIB aid shares'!B:E,4,0)</f>
        <v>1.3194994215684461E-2</v>
      </c>
      <c r="N31" s="94">
        <f t="shared" si="3"/>
        <v>0.23948881557224233</v>
      </c>
      <c r="O31" s="515">
        <f t="shared" si="4"/>
        <v>0.10168250004645384</v>
      </c>
      <c r="P31" s="167">
        <f t="shared" si="5"/>
        <v>0.24912815304401231</v>
      </c>
      <c r="Q31" s="168">
        <f t="shared" si="6"/>
        <v>0.10577518358400873</v>
      </c>
      <c r="R31" s="94">
        <f>VLOOKUP(B31,'Military aid by type'!B:F,5,0)</f>
        <v>3.0000000000000001E-3</v>
      </c>
      <c r="S31" s="512">
        <f>VLOOKUP(B31,'Military aid by type'!B:G,6,0)</f>
        <v>0</v>
      </c>
      <c r="T31" s="512"/>
      <c r="U31" s="512"/>
      <c r="V31" s="516"/>
      <c r="W31" s="512"/>
      <c r="X31" s="512"/>
      <c r="Y31" s="512"/>
      <c r="Z31" s="512"/>
      <c r="AA31" s="512"/>
    </row>
    <row r="32" spans="1:27">
      <c r="A32" s="117">
        <v>1</v>
      </c>
      <c r="B32" s="94" t="s">
        <v>1507</v>
      </c>
      <c r="C32" s="513">
        <f>SUMIFS('MAIN DATASET'!R:R,'MAIN DATASET'!D:D,"Financial",'MAIN DATASET'!B:B,'AGGREGATES by country'!B32)/1000000000</f>
        <v>0</v>
      </c>
      <c r="D32" s="513">
        <f>SUMIFS('MAIN DATASET'!R:R,'MAIN DATASET'!D:D,"Humanitarian",'MAIN DATASET'!B:B,'AGGREGATES by country'!B32)/1000000000</f>
        <v>5.0000000000000001E-3</v>
      </c>
      <c r="E32" s="513">
        <f>SUMIFS('MAIN DATASET'!R:R,'MAIN DATASET'!D:D,"Military",'MAIN DATASET'!B:B,'AGGREGATES by country'!B32)/1000000000</f>
        <v>0.16365189393939394</v>
      </c>
      <c r="F32" s="118">
        <f t="shared" si="0"/>
        <v>0.16865189393939395</v>
      </c>
      <c r="G32" s="119">
        <f t="shared" si="1"/>
        <v>168651893.93939394</v>
      </c>
      <c r="H32" s="120">
        <v>105172560000</v>
      </c>
      <c r="I32" s="120">
        <f>H32/VLOOKUP("USD",'Currency Conversion'!B:C,2,0)</f>
        <v>99595227272.727264</v>
      </c>
      <c r="J32" s="121">
        <f t="shared" si="2"/>
        <v>0.16933732524909542</v>
      </c>
      <c r="K32" s="94">
        <f>VLOOKUP(B32,'EU aid shares'!B:E,4,0)</f>
        <v>0.10901675041995831</v>
      </c>
      <c r="L32" s="94">
        <f>VLOOKUP(B32,'EPF aid shares'!B:G,6,0)</f>
        <v>1.3472731943739791E-2</v>
      </c>
      <c r="M32" s="94">
        <f>VLOOKUP(B32,'EIB aid shares'!B:E,4,0)</f>
        <v>6.0465311555603042E-3</v>
      </c>
      <c r="N32" s="94">
        <f t="shared" si="3"/>
        <v>0.12853601351925842</v>
      </c>
      <c r="O32" s="515">
        <f t="shared" si="4"/>
        <v>0.12905840675204339</v>
      </c>
      <c r="P32" s="167">
        <f t="shared" si="5"/>
        <v>0.29718790745865237</v>
      </c>
      <c r="Q32" s="168">
        <f t="shared" si="6"/>
        <v>0.29839573200113878</v>
      </c>
      <c r="R32" s="94">
        <f>VLOOKUP(B32,'Military aid by type'!B:F,5,0)</f>
        <v>0.16365189393939392</v>
      </c>
      <c r="S32" s="512">
        <f>VLOOKUP(B32,'Military aid by type'!B:G,6,0)</f>
        <v>0</v>
      </c>
      <c r="T32" s="512"/>
      <c r="U32" s="512"/>
      <c r="V32" s="516"/>
      <c r="W32" s="512"/>
      <c r="X32" s="512"/>
      <c r="Y32" s="512"/>
      <c r="Z32" s="512"/>
      <c r="AA32" s="512"/>
    </row>
    <row r="33" spans="1:29">
      <c r="A33" s="117">
        <v>1</v>
      </c>
      <c r="B33" s="94" t="s">
        <v>1546</v>
      </c>
      <c r="C33" s="513">
        <f>SUMIFS('MAIN DATASET'!R:R,'MAIN DATASET'!D:D,"Financial",'MAIN DATASET'!B:B,'AGGREGATES by country'!B33)/1000000000</f>
        <v>0</v>
      </c>
      <c r="D33" s="513">
        <f>SUMIFS('MAIN DATASET'!R:R,'MAIN DATASET'!D:D,"Humanitarian",'MAIN DATASET'!B:B,'AGGREGATES by country'!B33)/1000000000</f>
        <v>2.0830000000000002E-3</v>
      </c>
      <c r="E33" s="513">
        <f>SUMIFS('MAIN DATASET'!R:R,'MAIN DATASET'!D:D,"Military",'MAIN DATASET'!B:B,'AGGREGATES by country'!B33)/1000000000</f>
        <v>6.628787878787879E-3</v>
      </c>
      <c r="F33" s="118">
        <f t="shared" si="0"/>
        <v>8.7117878787878796E-3</v>
      </c>
      <c r="G33" s="119">
        <f t="shared" si="1"/>
        <v>8711787.8787878789</v>
      </c>
      <c r="H33" s="130">
        <v>53589609581</v>
      </c>
      <c r="I33" s="120">
        <f>H33/VLOOKUP("USD",'Currency Conversion'!B:C,2,0)</f>
        <v>50747736345.643936</v>
      </c>
      <c r="J33" s="121">
        <f t="shared" si="2"/>
        <v>1.7166850200867487E-2</v>
      </c>
      <c r="K33" s="94">
        <f>VLOOKUP(B33,'EU aid shares'!B:E,4,0)</f>
        <v>4.2246614409952275E-2</v>
      </c>
      <c r="L33" s="94">
        <f>VLOOKUP(B33,'EPF aid shares'!B:G,6,0)</f>
        <v>6.9485184685039066E-3</v>
      </c>
      <c r="M33" s="94">
        <f>VLOOKUP(B33,'EIB aid shares'!B:E,4,0)</f>
        <v>5.6136594823116203E-3</v>
      </c>
      <c r="N33" s="94">
        <f t="shared" si="3"/>
        <v>5.4808792360767807E-2</v>
      </c>
      <c r="O33" s="515">
        <f t="shared" si="4"/>
        <v>0.10800243775892569</v>
      </c>
      <c r="P33" s="167">
        <f t="shared" si="5"/>
        <v>6.3520580239555688E-2</v>
      </c>
      <c r="Q33" s="168">
        <f t="shared" si="6"/>
        <v>0.12516928795979318</v>
      </c>
      <c r="R33" s="94">
        <f>VLOOKUP(B33,'Military aid by type'!B:F,5,0)</f>
        <v>6.628787878787879E-3</v>
      </c>
      <c r="S33" s="512">
        <f>VLOOKUP(B33,'Military aid by type'!B:G,6,0)</f>
        <v>0</v>
      </c>
      <c r="T33" s="512"/>
      <c r="U33" s="512"/>
      <c r="V33" s="516"/>
      <c r="W33" s="512"/>
      <c r="X33" s="512"/>
      <c r="Y33" s="512"/>
      <c r="Z33" s="512"/>
      <c r="AA33" s="512"/>
      <c r="AC33" s="517"/>
    </row>
    <row r="34" spans="1:29">
      <c r="A34" s="117">
        <v>1</v>
      </c>
      <c r="B34" s="94" t="s">
        <v>1587</v>
      </c>
      <c r="C34" s="513">
        <f>SUMIFS('MAIN DATASET'!R:R,'MAIN DATASET'!D:D,"Financial",'MAIN DATASET'!B:B,'AGGREGATES by country'!B34)/1000000000</f>
        <v>0</v>
      </c>
      <c r="D34" s="513">
        <f>SUMIFS('MAIN DATASET'!R:R,'MAIN DATASET'!D:D,"Humanitarian",'MAIN DATASET'!B:B,'AGGREGATES by country'!B34)/1000000000</f>
        <v>4.3885913212121208E-2</v>
      </c>
      <c r="E34" s="513">
        <f>SUMIFS('MAIN DATASET'!R:R,'MAIN DATASET'!D:D,"Military",'MAIN DATASET'!B:B,'AGGREGATES by country'!B34)/1000000000</f>
        <v>3.7245335227272719E-2</v>
      </c>
      <c r="F34" s="118">
        <f t="shared" si="0"/>
        <v>8.1131248439393927E-2</v>
      </c>
      <c r="G34" s="119">
        <f t="shared" si="1"/>
        <v>81131248.439393923</v>
      </c>
      <c r="H34" s="120">
        <v>1281484640000</v>
      </c>
      <c r="I34" s="120">
        <f>H34/VLOOKUP("USD",'Currency Conversion'!B:C,2,0)</f>
        <v>1213527121212.1211</v>
      </c>
      <c r="J34" s="121">
        <f t="shared" si="2"/>
        <v>6.685573566609428E-3</v>
      </c>
      <c r="K34" s="94">
        <f>VLOOKUP(B34,'EU aid shares'!B:E,4,0)</f>
        <v>1.3934666282405084</v>
      </c>
      <c r="L34" s="94">
        <f>VLOOKUP(B34,'EPF aid shares'!B:G,6,0)</f>
        <v>0.16902817002673434</v>
      </c>
      <c r="M34" s="94">
        <f>VLOOKUP(B34,'EIB aid shares'!B:E,4,0)</f>
        <v>0.22563472061413059</v>
      </c>
      <c r="N34" s="94">
        <f t="shared" si="3"/>
        <v>1.7881295188813735</v>
      </c>
      <c r="O34" s="515">
        <f t="shared" si="4"/>
        <v>0.14734977798397417</v>
      </c>
      <c r="P34" s="167">
        <f t="shared" si="5"/>
        <v>1.8692607673207675</v>
      </c>
      <c r="Q34" s="168">
        <f t="shared" si="6"/>
        <v>0.15403535155058362</v>
      </c>
      <c r="R34" s="94">
        <f>VLOOKUP(B34,'Military aid by type'!B:F,5,0)</f>
        <v>3.7245335227272726E-2</v>
      </c>
      <c r="S34" s="512">
        <f>VLOOKUP(B34,'Military aid by type'!B:G,6,0)</f>
        <v>0</v>
      </c>
      <c r="T34" s="512"/>
      <c r="U34" s="512"/>
      <c r="V34" s="516"/>
      <c r="W34" s="512"/>
      <c r="X34" s="512"/>
      <c r="Y34" s="512"/>
      <c r="Z34" s="512"/>
      <c r="AA34" s="512"/>
      <c r="AC34" s="517"/>
    </row>
    <row r="35" spans="1:29">
      <c r="A35" s="117">
        <v>1</v>
      </c>
      <c r="B35" s="94" t="s">
        <v>1645</v>
      </c>
      <c r="C35" s="513">
        <f>SUMIFS('MAIN DATASET'!R:R,'MAIN DATASET'!D:D,"Financial",'MAIN DATASET'!B:B,'AGGREGATES by country'!B35)/1000000000</f>
        <v>9.1348484848484846E-2</v>
      </c>
      <c r="D35" s="513">
        <f>SUMIFS('MAIN DATASET'!R:R,'MAIN DATASET'!D:D,"Humanitarian",'MAIN DATASET'!B:B,'AGGREGATES by country'!B35)/1000000000</f>
        <v>8.4840029411210188E-2</v>
      </c>
      <c r="E35" s="513">
        <f>SUMIFS('MAIN DATASET'!R:R,'MAIN DATASET'!D:D,"Military",'MAIN DATASET'!B:B,'AGGREGATES by country'!B35)/1000000000</f>
        <v>0.18246414973151129</v>
      </c>
      <c r="F35" s="118">
        <f t="shared" si="0"/>
        <v>0.35865266399120632</v>
      </c>
      <c r="G35" s="119">
        <f t="shared" si="1"/>
        <v>358652663.99120635</v>
      </c>
      <c r="H35" s="120">
        <v>541220060000.00006</v>
      </c>
      <c r="I35" s="120">
        <f>H35/VLOOKUP("USD",'Currency Conversion'!B:C,2,0)</f>
        <v>512518996212.12122</v>
      </c>
      <c r="J35" s="121">
        <f t="shared" si="2"/>
        <v>6.9978413803567049E-2</v>
      </c>
      <c r="K35" s="94">
        <f>VLOOKUP(B35,'EU aid shares'!B:E,4,0)</f>
        <v>0.39188940131712091</v>
      </c>
      <c r="L35" s="94">
        <f>VLOOKUP(B35,'EPF aid shares'!B:G,6,0)</f>
        <v>7.2999247615123414E-2</v>
      </c>
      <c r="M35" s="94">
        <f>VLOOKUP(B35,'EIB aid shares'!B:E,4,0)</f>
        <v>6.9153322665024983E-2</v>
      </c>
      <c r="N35" s="94">
        <f t="shared" si="3"/>
        <v>0.53404197159726929</v>
      </c>
      <c r="O35" s="515">
        <f t="shared" si="4"/>
        <v>0.1041994492973369</v>
      </c>
      <c r="P35" s="167">
        <f t="shared" si="5"/>
        <v>0.89269463558847562</v>
      </c>
      <c r="Q35" s="168">
        <f t="shared" si="6"/>
        <v>0.17417786310090394</v>
      </c>
      <c r="R35" s="94">
        <f>VLOOKUP(B35,'Military aid by type'!B:F,5,0)</f>
        <v>7.5188645876003296E-2</v>
      </c>
      <c r="S35" s="512">
        <f>VLOOKUP(B35,'Military aid by type'!B:G,6,0)</f>
        <v>0.10727550385550799</v>
      </c>
      <c r="T35" s="512"/>
      <c r="U35" s="512"/>
      <c r="V35" s="516"/>
      <c r="W35" s="512"/>
      <c r="X35" s="512"/>
      <c r="Y35" s="512"/>
      <c r="Z35" s="512"/>
      <c r="AA35" s="512"/>
      <c r="AC35" s="517"/>
    </row>
    <row r="36" spans="1:29">
      <c r="A36" s="117">
        <v>0</v>
      </c>
      <c r="B36" s="512" t="s">
        <v>1694</v>
      </c>
      <c r="C36" s="513">
        <f>SUMIFS('MAIN DATASET'!R:R,'MAIN DATASET'!D:D,"Financial",'MAIN DATASET'!B:B,'AGGREGATES by country'!B36)/1000000000</f>
        <v>0</v>
      </c>
      <c r="D36" s="513">
        <f>SUMIFS('MAIN DATASET'!R:R,'MAIN DATASET'!D:D,"Humanitarian",'MAIN DATASET'!B:B,'AGGREGATES by country'!B36)/1000000000</f>
        <v>5.8622374206155348E-2</v>
      </c>
      <c r="E36" s="513">
        <f>SUMIFS('MAIN DATASET'!R:R,'MAIN DATASET'!D:D,"Military",'MAIN DATASET'!B:B,'AGGREGATES by country'!B36)/1000000000</f>
        <v>0</v>
      </c>
      <c r="F36" s="118">
        <f t="shared" si="0"/>
        <v>5.8622374206155348E-2</v>
      </c>
      <c r="G36" s="119">
        <f t="shared" si="1"/>
        <v>58622374.206155345</v>
      </c>
      <c r="H36" s="514">
        <v>752248045730.10999</v>
      </c>
      <c r="I36" s="120">
        <f>H36/VLOOKUP("USD",'Currency Conversion'!B:C,2,0)</f>
        <v>712356103911.08899</v>
      </c>
      <c r="J36" s="121">
        <f t="shared" si="2"/>
        <v>8.2293636405019362E-3</v>
      </c>
      <c r="K36" s="94">
        <f>VLOOKUP(B36,'EU aid shares'!B:E,4,0)</f>
        <v>0</v>
      </c>
      <c r="L36" s="94">
        <f>VLOOKUP(B36,'EPF aid shares'!B:G,6,0)</f>
        <v>0</v>
      </c>
      <c r="M36" s="94">
        <f>VLOOKUP(B36,'EIB aid shares'!B:E,4,0)</f>
        <v>0</v>
      </c>
      <c r="N36" s="94">
        <f t="shared" si="3"/>
        <v>0</v>
      </c>
      <c r="O36" s="515">
        <f t="shared" si="4"/>
        <v>0</v>
      </c>
      <c r="P36" s="167">
        <f t="shared" si="5"/>
        <v>5.8622374206155348E-2</v>
      </c>
      <c r="Q36" s="168">
        <f t="shared" si="6"/>
        <v>8.2293636405019362E-3</v>
      </c>
      <c r="R36" s="94">
        <f>VLOOKUP(B36,'Military aid by type'!B:F,5,0)</f>
        <v>0</v>
      </c>
      <c r="S36" s="512">
        <f>VLOOKUP(B36,'Military aid by type'!B:G,6,0)</f>
        <v>0</v>
      </c>
      <c r="T36" s="512"/>
      <c r="U36" s="512"/>
      <c r="V36" s="516"/>
      <c r="W36" s="512"/>
      <c r="X36" s="512"/>
      <c r="Y36" s="512"/>
      <c r="Z36" s="512"/>
      <c r="AA36" s="512"/>
      <c r="AC36" s="517"/>
    </row>
    <row r="37" spans="1:29">
      <c r="A37" s="117">
        <v>0</v>
      </c>
      <c r="B37" s="512" t="s">
        <v>1702</v>
      </c>
      <c r="C37" s="513">
        <f>SUMIFS('MAIN DATASET'!R:R,'MAIN DATASET'!D:D,"Financial",'MAIN DATASET'!B:B,'AGGREGATES by country'!B37)/1000000000</f>
        <v>0</v>
      </c>
      <c r="D37" s="513">
        <f>SUMIFS('MAIN DATASET'!R:R,'MAIN DATASET'!D:D,"Humanitarian",'MAIN DATASET'!B:B,'AGGREGATES by country'!B37)/1000000000</f>
        <v>1.8416856060606061E-4</v>
      </c>
      <c r="E37" s="513">
        <f>SUMIFS('MAIN DATASET'!R:R,'MAIN DATASET'!D:D,"Military",'MAIN DATASET'!B:B,'AGGREGATES by country'!B37)/1000000000</f>
        <v>0</v>
      </c>
      <c r="F37" s="118">
        <f t="shared" si="0"/>
        <v>1.8416856060606061E-4</v>
      </c>
      <c r="G37" s="119">
        <f t="shared" si="1"/>
        <v>184168.56060606061</v>
      </c>
      <c r="H37" s="514">
        <v>719954821683.31006</v>
      </c>
      <c r="I37" s="120">
        <f>H37/VLOOKUP("USD",'Currency Conversion'!B:C,2,0)</f>
        <v>681775399321.31628</v>
      </c>
      <c r="J37" s="121">
        <f t="shared" si="2"/>
        <v>2.70130838967487E-5</v>
      </c>
      <c r="K37" s="94">
        <f>VLOOKUP(B37,'EU aid shares'!B:E,4,0)</f>
        <v>0</v>
      </c>
      <c r="L37" s="94">
        <f>VLOOKUP(B37,'EPF aid shares'!B:G,6,0)</f>
        <v>0</v>
      </c>
      <c r="M37" s="94">
        <f>VLOOKUP(B37,'EIB aid shares'!B:E,4,0)</f>
        <v>0</v>
      </c>
      <c r="N37" s="94">
        <f t="shared" si="3"/>
        <v>0</v>
      </c>
      <c r="O37" s="515">
        <f t="shared" si="4"/>
        <v>0</v>
      </c>
      <c r="P37" s="167">
        <f t="shared" si="5"/>
        <v>1.8416856060606061E-4</v>
      </c>
      <c r="Q37" s="168">
        <f t="shared" si="6"/>
        <v>2.70130838967487E-5</v>
      </c>
      <c r="R37" s="94">
        <f>VLOOKUP(B37,'Military aid by type'!B:F,5,0)</f>
        <v>0</v>
      </c>
      <c r="S37" s="512">
        <f>VLOOKUP(B37,'Military aid by type'!B:G,6,0)</f>
        <v>0</v>
      </c>
      <c r="T37" s="512"/>
      <c r="U37" s="512"/>
      <c r="V37" s="516"/>
      <c r="W37" s="512"/>
      <c r="X37" s="512"/>
      <c r="Y37" s="512"/>
      <c r="Z37" s="512"/>
      <c r="AA37" s="512"/>
      <c r="AC37" s="517"/>
    </row>
    <row r="38" spans="1:29">
      <c r="A38" s="117">
        <v>0</v>
      </c>
      <c r="B38" s="94" t="s">
        <v>1741</v>
      </c>
      <c r="C38" s="513">
        <f>SUMIFS('MAIN DATASET'!R:R,'MAIN DATASET'!D:D,"Financial",'MAIN DATASET'!B:B,'AGGREGATES by country'!B38)/1000000000</f>
        <v>2.0766498671650888</v>
      </c>
      <c r="D38" s="513">
        <f>SUMIFS('MAIN DATASET'!R:R,'MAIN DATASET'!D:D,"Humanitarian",'MAIN DATASET'!B:B,'AGGREGATES by country'!B38)/1000000000</f>
        <v>0.37296906687801584</v>
      </c>
      <c r="E38" s="513">
        <f>SUMIFS('MAIN DATASET'!R:R,'MAIN DATASET'!D:D,"Military",'MAIN DATASET'!B:B,'AGGREGATES by country'!B38)/1000000000</f>
        <v>3.7678026456566056</v>
      </c>
      <c r="F38" s="118">
        <f t="shared" si="0"/>
        <v>6.2174215796997103</v>
      </c>
      <c r="G38" s="119">
        <f t="shared" si="1"/>
        <v>6217421579.6997099</v>
      </c>
      <c r="H38" s="120">
        <v>2759804060000</v>
      </c>
      <c r="I38" s="120">
        <f>H38/VLOOKUP("USD",'Currency Conversion'!B:C,2,0)</f>
        <v>2613450814393.9395</v>
      </c>
      <c r="J38" s="121">
        <f t="shared" si="2"/>
        <v>0.23790084532895767</v>
      </c>
      <c r="K38" s="94">
        <f>VLOOKUP(B38,'EU aid shares'!B:E,4,0)</f>
        <v>0</v>
      </c>
      <c r="L38" s="94">
        <f>VLOOKUP(B38,'EPF aid shares'!B:G,6,0)</f>
        <v>0</v>
      </c>
      <c r="M38" s="94">
        <f>VLOOKUP(B38,'EIB aid shares'!B:E,4,0)</f>
        <v>0</v>
      </c>
      <c r="N38" s="94">
        <f t="shared" si="3"/>
        <v>0</v>
      </c>
      <c r="O38" s="515">
        <f t="shared" si="4"/>
        <v>0</v>
      </c>
      <c r="P38" s="167">
        <f t="shared" si="5"/>
        <v>6.2174215796997103</v>
      </c>
      <c r="Q38" s="168">
        <f t="shared" si="6"/>
        <v>0.23790084532895767</v>
      </c>
      <c r="R38" s="94">
        <f>VLOOKUP(B38,'Military aid by type'!B:F,5,0)</f>
        <v>1.1051816336566063</v>
      </c>
      <c r="S38" s="512">
        <f>VLOOKUP(B38,'Military aid by type'!B:G,6,0)</f>
        <v>2.6626210119999993</v>
      </c>
      <c r="T38" s="512"/>
      <c r="U38" s="512"/>
      <c r="V38" s="516"/>
      <c r="W38" s="512"/>
      <c r="X38" s="512"/>
      <c r="Y38" s="512"/>
      <c r="Z38" s="512"/>
      <c r="AA38" s="512"/>
      <c r="AC38" s="517"/>
    </row>
    <row r="39" spans="1:29" s="126" customFormat="1">
      <c r="A39" s="125">
        <v>0</v>
      </c>
      <c r="B39" s="126" t="s">
        <v>1837</v>
      </c>
      <c r="C39" s="518">
        <f>SUMIFS('MAIN DATASET'!R:R,'MAIN DATASET'!D:D,"Financial",'MAIN DATASET'!B:B,'AGGREGATES by country'!B39)/1000000000</f>
        <v>9.9488636363636367</v>
      </c>
      <c r="D39" s="518">
        <f>SUMIFS('MAIN DATASET'!R:R,'MAIN DATASET'!D:D,"Humanitarian",'MAIN DATASET'!B:B,'AGGREGATES by country'!B39)/1000000000</f>
        <v>8.8836174242424235</v>
      </c>
      <c r="E39" s="518">
        <f>SUMIFS('MAIN DATASET'!R:R,'MAIN DATASET'!D:D,"Military",'MAIN DATASET'!B:B,'AGGREGATES by country'!B39)/1000000000</f>
        <v>23.782060057969691</v>
      </c>
      <c r="F39" s="482">
        <f t="shared" si="0"/>
        <v>42.614541118575751</v>
      </c>
      <c r="G39" s="127">
        <f t="shared" si="1"/>
        <v>42614541118.575752</v>
      </c>
      <c r="H39" s="128">
        <v>20953030000000</v>
      </c>
      <c r="I39" s="128">
        <f>H39/VLOOKUP("USD",'Currency Conversion'!B:C,2,0)</f>
        <v>19841884469696.969</v>
      </c>
      <c r="J39" s="129">
        <f t="shared" si="2"/>
        <v>0.21477063422911147</v>
      </c>
      <c r="K39" s="126">
        <f>VLOOKUP(B39,'EU aid shares'!B:E,4,0)</f>
        <v>0</v>
      </c>
      <c r="L39" s="126">
        <f>VLOOKUP(B39,'EPF aid shares'!B:G,6,0)</f>
        <v>0</v>
      </c>
      <c r="M39" s="126">
        <f>VLOOKUP(B39,'EIB aid shares'!B:E,4,0)</f>
        <v>0</v>
      </c>
      <c r="N39" s="126">
        <f t="shared" si="3"/>
        <v>0</v>
      </c>
      <c r="O39" s="519">
        <f t="shared" si="4"/>
        <v>0</v>
      </c>
      <c r="P39" s="483">
        <f t="shared" si="5"/>
        <v>42.614541118575751</v>
      </c>
      <c r="Q39" s="484">
        <f t="shared" si="6"/>
        <v>0.21477063422911147</v>
      </c>
      <c r="R39" s="126">
        <f>VLOOKUP(B39,'Military aid by type'!B:F,5,0)</f>
        <v>6.3708799922424184</v>
      </c>
      <c r="S39" s="520">
        <f>VLOOKUP(B39,'Military aid by type'!B:G,6,0)</f>
        <v>17.411180065727272</v>
      </c>
      <c r="T39" s="520"/>
      <c r="U39" s="520"/>
      <c r="V39" s="521"/>
      <c r="W39" s="520"/>
      <c r="X39" s="520"/>
      <c r="Y39" s="520"/>
      <c r="Z39" s="520"/>
      <c r="AA39" s="520"/>
      <c r="AC39" s="522"/>
    </row>
    <row r="40" spans="1:29">
      <c r="A40" s="117">
        <v>0</v>
      </c>
      <c r="B40" s="94" t="s">
        <v>456</v>
      </c>
      <c r="C40" s="518">
        <f>SUMIFS('MAIN DATASET'!R:R,'MAIN DATASET'!D:D,"Financial",'MAIN DATASET'!B:B,'AGGREGATES by country'!B40)/1000000000</f>
        <v>0</v>
      </c>
      <c r="D40" s="518">
        <f>SUMIFS('MAIN DATASET'!R:R,'MAIN DATASET'!D:D,"Humanitarian",'MAIN DATASET'!B:B,'AGGREGATES by country'!B40)/1000000000</f>
        <v>2.1217307665106011E-3</v>
      </c>
      <c r="E40" s="518">
        <f>SUMIFS('MAIN DATASET'!R:R,'MAIN DATASET'!D:D,"Military",'MAIN DATASET'!B:B,'AGGREGATES by country'!B40)/1000000000</f>
        <v>0</v>
      </c>
      <c r="F40" s="482">
        <f t="shared" si="0"/>
        <v>2.1217307665106011E-3</v>
      </c>
      <c r="G40" s="127">
        <f t="shared" si="1"/>
        <v>2121730.7665106012</v>
      </c>
      <c r="H40" s="120">
        <v>14722730697890</v>
      </c>
      <c r="I40" s="128">
        <f>H40/VLOOKUP("USD",'Currency Conversion'!B:C,2,0)</f>
        <v>13941979827547.348</v>
      </c>
      <c r="J40" s="129">
        <f t="shared" si="2"/>
        <v>1.5218288885473542E-5</v>
      </c>
      <c r="K40" s="126">
        <f>VLOOKUP(B40,'EU aid shares'!B:E,4,0)</f>
        <v>0</v>
      </c>
      <c r="L40" s="126">
        <f>VLOOKUP(B40,'EPF aid shares'!B:G,6,0)</f>
        <v>0</v>
      </c>
      <c r="M40" s="126">
        <f>VLOOKUP(B40,'EIB aid shares'!B:E,4,0)</f>
        <v>0</v>
      </c>
      <c r="N40" s="126">
        <f t="shared" si="3"/>
        <v>0</v>
      </c>
      <c r="O40" s="519">
        <f t="shared" si="4"/>
        <v>0</v>
      </c>
      <c r="P40" s="483">
        <f t="shared" si="5"/>
        <v>2.1217307665106011E-3</v>
      </c>
      <c r="Q40" s="484">
        <f t="shared" si="6"/>
        <v>1.5218288885473542E-5</v>
      </c>
      <c r="R40" s="126">
        <f>VLOOKUP(B40,'Military aid by type'!B:F,5,0)</f>
        <v>0</v>
      </c>
      <c r="S40" s="520">
        <f>VLOOKUP(B40,'Military aid by type'!B:G,6,0)</f>
        <v>0</v>
      </c>
      <c r="T40" s="512"/>
      <c r="U40" s="512"/>
      <c r="V40" s="516"/>
      <c r="W40" s="512"/>
      <c r="X40" s="512"/>
      <c r="Y40" s="512"/>
      <c r="Z40" s="512"/>
      <c r="AA40" s="512"/>
      <c r="AC40" s="517"/>
    </row>
    <row r="41" spans="1:29">
      <c r="A41" s="117">
        <v>0</v>
      </c>
      <c r="B41" s="94" t="s">
        <v>1721</v>
      </c>
      <c r="C41" s="518">
        <f>SUMIFS('MAIN DATASET'!R:R,'MAIN DATASET'!D:D,"Financial",'MAIN DATASET'!B:B,'AGGREGATES by country'!B41)/1000000000</f>
        <v>0</v>
      </c>
      <c r="D41" s="518">
        <f>SUMIFS('MAIN DATASET'!R:R,'MAIN DATASET'!D:D,"Humanitarian",'MAIN DATASET'!B:B,'AGGREGATES by country'!B41)/1000000000</f>
        <v>1.1837121212121207E-2</v>
      </c>
      <c r="E41" s="518">
        <f>SUMIFS('MAIN DATASET'!R:R,'MAIN DATASET'!D:D,"Military",'MAIN DATASET'!B:B,'AGGREGATES by country'!B41)/1000000000</f>
        <v>0</v>
      </c>
      <c r="F41" s="482">
        <f t="shared" si="0"/>
        <v>1.1837121212121207E-2</v>
      </c>
      <c r="G41" s="127">
        <f t="shared" si="1"/>
        <v>11837121.212121207</v>
      </c>
      <c r="H41" s="120">
        <v>612168000000</v>
      </c>
      <c r="I41" s="128">
        <f>H41/VLOOKUP("USD",'Currency Conversion'!B:C,2,0)</f>
        <v>579704545454.54541</v>
      </c>
      <c r="J41" s="129">
        <f t="shared" si="2"/>
        <v>2.0419231322120718E-3</v>
      </c>
      <c r="K41" s="126">
        <f>VLOOKUP(B41,'EU aid shares'!B:E,4,0)</f>
        <v>0</v>
      </c>
      <c r="L41" s="126">
        <f>VLOOKUP(B41,'EPF aid shares'!B:G,6,0)</f>
        <v>0</v>
      </c>
      <c r="M41" s="126">
        <f>VLOOKUP(B41,'EIB aid shares'!B:E,4,0)</f>
        <v>0</v>
      </c>
      <c r="N41" s="126">
        <f t="shared" si="3"/>
        <v>0</v>
      </c>
      <c r="O41" s="519">
        <f t="shared" si="4"/>
        <v>0</v>
      </c>
      <c r="P41" s="483">
        <f t="shared" si="5"/>
        <v>1.1837121212121207E-2</v>
      </c>
      <c r="Q41" s="484">
        <f t="shared" si="6"/>
        <v>2.0419231322120718E-3</v>
      </c>
      <c r="R41" s="126">
        <f>VLOOKUP(B41,'Military aid by type'!B:F,5,0)</f>
        <v>0</v>
      </c>
      <c r="S41" s="520">
        <f>VLOOKUP(B41,'Military aid by type'!B:G,6,0)</f>
        <v>0</v>
      </c>
      <c r="T41" s="512"/>
      <c r="U41" s="512"/>
      <c r="V41" s="516"/>
      <c r="W41" s="512"/>
      <c r="X41" s="512"/>
      <c r="Y41" s="512"/>
      <c r="Z41" s="512"/>
      <c r="AA41" s="512"/>
      <c r="AC41" s="517"/>
    </row>
    <row r="42" spans="1:29">
      <c r="A42" s="117">
        <v>0</v>
      </c>
      <c r="B42" s="94" t="s">
        <v>998</v>
      </c>
      <c r="C42" s="518">
        <f>SUMIFS('MAIN DATASET'!R:R,'MAIN DATASET'!D:D,"Financial",'MAIN DATASET'!B:B,'AGGREGATES by country'!B42)/1000000000</f>
        <v>0</v>
      </c>
      <c r="D42" s="518">
        <f>SUMIFS('MAIN DATASET'!R:R,'MAIN DATASET'!D:D,"Humanitarian",'MAIN DATASET'!B:B,'AGGREGATES by country'!B42)/1000000000</f>
        <v>1.7708333333333332E-3</v>
      </c>
      <c r="E42" s="518">
        <f>SUMIFS('MAIN DATASET'!R:R,'MAIN DATASET'!D:D,"Military",'MAIN DATASET'!B:B,'AGGREGATES by country'!B42)/1000000000</f>
        <v>0</v>
      </c>
      <c r="F42" s="482">
        <f t="shared" si="0"/>
        <v>1.7708333333333332E-3</v>
      </c>
      <c r="G42" s="127">
        <f t="shared" si="1"/>
        <v>1770833.3333333333</v>
      </c>
      <c r="H42" s="120">
        <v>2660245248867</v>
      </c>
      <c r="I42" s="128">
        <f>H42/VLOOKUP("USD",'Currency Conversion'!B:C,2,0)</f>
        <v>2519171637184.6592</v>
      </c>
      <c r="J42" s="129">
        <f t="shared" si="2"/>
        <v>7.029427083072261E-5</v>
      </c>
      <c r="K42" s="126">
        <f>VLOOKUP(B42,'EU aid shares'!B:E,4,0)</f>
        <v>0</v>
      </c>
      <c r="L42" s="126">
        <f>VLOOKUP(B42,'EPF aid shares'!B:G,6,0)</f>
        <v>0</v>
      </c>
      <c r="M42" s="126">
        <f>VLOOKUP(B42,'EIB aid shares'!B:E,4,0)</f>
        <v>0</v>
      </c>
      <c r="N42" s="126">
        <f t="shared" si="3"/>
        <v>0</v>
      </c>
      <c r="O42" s="519">
        <f t="shared" si="4"/>
        <v>0</v>
      </c>
      <c r="P42" s="483">
        <f t="shared" si="5"/>
        <v>1.7708333333333332E-3</v>
      </c>
      <c r="Q42" s="484">
        <f t="shared" si="6"/>
        <v>7.029427083072261E-5</v>
      </c>
      <c r="R42" s="126">
        <f>VLOOKUP(B42,'Military aid by type'!B:F,5,0)</f>
        <v>0</v>
      </c>
      <c r="S42" s="520">
        <f>VLOOKUP(B42,'Military aid by type'!B:G,6,0)</f>
        <v>0</v>
      </c>
      <c r="T42" s="512"/>
      <c r="U42" s="512"/>
      <c r="V42" s="516"/>
      <c r="W42" s="512"/>
      <c r="X42" s="512"/>
      <c r="Y42" s="512"/>
      <c r="Z42" s="512"/>
      <c r="AA42" s="512"/>
      <c r="AC42" s="517"/>
    </row>
    <row r="43" spans="1:29">
      <c r="F43" s="118"/>
      <c r="G43" s="119"/>
      <c r="H43" s="120"/>
      <c r="J43" s="123"/>
      <c r="O43" s="515"/>
      <c r="S43" s="512"/>
      <c r="T43" s="512"/>
      <c r="U43" s="512"/>
      <c r="V43" s="516"/>
      <c r="W43" s="512"/>
      <c r="X43" s="512"/>
      <c r="Y43" s="512"/>
      <c r="Z43" s="512"/>
      <c r="AA43" s="512"/>
      <c r="AC43" s="517"/>
    </row>
    <row r="44" spans="1:29">
      <c r="B44" s="512"/>
      <c r="F44" s="118"/>
      <c r="G44" s="514"/>
      <c r="H44" s="514"/>
      <c r="J44" s="123"/>
      <c r="O44" s="515"/>
      <c r="W44" s="512"/>
      <c r="X44" s="512"/>
      <c r="Y44" s="512"/>
      <c r="Z44" s="512"/>
      <c r="AA44" s="512"/>
      <c r="AC44" s="517"/>
    </row>
    <row r="45" spans="1:29">
      <c r="F45" s="118"/>
      <c r="G45" s="514"/>
      <c r="H45" s="120"/>
      <c r="J45" s="123"/>
      <c r="O45" s="515"/>
      <c r="S45" s="512"/>
      <c r="T45" s="512"/>
      <c r="U45" s="512"/>
      <c r="V45" s="516"/>
      <c r="W45" s="512"/>
      <c r="X45" s="512"/>
      <c r="Y45" s="512"/>
      <c r="Z45" s="512"/>
      <c r="AA45" s="512"/>
      <c r="AC45" s="517"/>
    </row>
    <row r="46" spans="1:29">
      <c r="F46" s="118"/>
      <c r="G46" s="514"/>
      <c r="H46" s="120"/>
      <c r="O46" s="515"/>
      <c r="S46" s="512"/>
      <c r="T46" s="512"/>
      <c r="U46" s="512"/>
      <c r="V46" s="516"/>
      <c r="W46" s="512"/>
      <c r="X46" s="512"/>
      <c r="Y46" s="512"/>
      <c r="Z46" s="512"/>
      <c r="AA46" s="512"/>
      <c r="AC46" s="517"/>
    </row>
    <row r="47" spans="1:29">
      <c r="F47" s="118"/>
      <c r="G47" s="514"/>
      <c r="H47" s="120"/>
      <c r="O47" s="515"/>
      <c r="S47" s="512"/>
      <c r="T47" s="512"/>
      <c r="U47" s="512"/>
      <c r="V47" s="516"/>
      <c r="W47" s="512"/>
      <c r="X47" s="512"/>
      <c r="Y47" s="512"/>
      <c r="Z47" s="512"/>
      <c r="AA47" s="512"/>
      <c r="AC47" s="517"/>
    </row>
    <row r="48" spans="1:29">
      <c r="G48" s="514"/>
      <c r="H48" s="120"/>
      <c r="O48" s="515"/>
      <c r="S48" s="512"/>
      <c r="T48" s="512"/>
      <c r="U48" s="512"/>
      <c r="V48" s="516"/>
      <c r="W48" s="512"/>
      <c r="X48" s="512"/>
      <c r="Y48" s="512"/>
      <c r="Z48" s="512"/>
      <c r="AA48" s="512"/>
      <c r="AC48" s="517"/>
    </row>
    <row r="49" spans="2:27">
      <c r="G49" s="514"/>
      <c r="H49" s="120"/>
      <c r="O49" s="515"/>
      <c r="S49" s="512"/>
      <c r="T49" s="512"/>
      <c r="U49" s="512"/>
      <c r="V49" s="516"/>
      <c r="W49" s="512"/>
      <c r="X49" s="512"/>
      <c r="Y49" s="512"/>
      <c r="Z49" s="512"/>
      <c r="AA49" s="512"/>
    </row>
    <row r="50" spans="2:27">
      <c r="B50" s="132"/>
      <c r="G50" s="514"/>
      <c r="H50" s="120"/>
      <c r="O50" s="515"/>
      <c r="S50" s="512"/>
      <c r="T50" s="512"/>
      <c r="U50" s="512"/>
      <c r="V50" s="516"/>
      <c r="W50" s="512"/>
      <c r="X50" s="512"/>
      <c r="Y50" s="512"/>
      <c r="Z50" s="512"/>
      <c r="AA50" s="512"/>
    </row>
    <row r="51" spans="2:27">
      <c r="H51" s="120"/>
      <c r="O51" s="515"/>
      <c r="S51" s="512"/>
      <c r="T51" s="512"/>
      <c r="U51" s="512"/>
      <c r="V51" s="516"/>
      <c r="W51" s="512"/>
      <c r="X51" s="512"/>
      <c r="Y51" s="512"/>
      <c r="Z51" s="512"/>
      <c r="AA51" s="512"/>
    </row>
    <row r="52" spans="2:27">
      <c r="B52" s="109"/>
      <c r="F52" s="118"/>
      <c r="G52" s="119"/>
      <c r="H52" s="120"/>
      <c r="O52" s="515"/>
      <c r="S52" s="512"/>
      <c r="T52" s="512"/>
      <c r="U52" s="512"/>
      <c r="V52" s="516"/>
      <c r="W52" s="512"/>
      <c r="X52" s="512"/>
      <c r="Y52" s="512"/>
      <c r="Z52" s="512"/>
      <c r="AA52" s="512"/>
    </row>
    <row r="53" spans="2:27">
      <c r="F53" s="513"/>
      <c r="G53" s="514"/>
      <c r="H53" s="120"/>
      <c r="O53" s="515"/>
      <c r="S53" s="512"/>
      <c r="T53" s="512"/>
      <c r="U53" s="512"/>
      <c r="V53" s="516"/>
      <c r="W53" s="512"/>
      <c r="X53" s="512"/>
      <c r="Y53" s="512"/>
      <c r="Z53" s="512"/>
      <c r="AA53" s="512"/>
    </row>
    <row r="54" spans="2:27">
      <c r="F54" s="133"/>
      <c r="G54" s="523"/>
      <c r="H54" s="524"/>
      <c r="O54" s="515"/>
      <c r="S54" s="512"/>
      <c r="T54" s="512"/>
      <c r="U54" s="512"/>
      <c r="V54" s="516"/>
      <c r="W54" s="512"/>
      <c r="X54" s="512"/>
      <c r="Y54" s="512"/>
      <c r="Z54" s="512"/>
      <c r="AA54" s="512"/>
    </row>
    <row r="55" spans="2:27">
      <c r="F55" s="118"/>
      <c r="G55" s="514"/>
      <c r="H55" s="524"/>
      <c r="O55" s="515"/>
      <c r="S55" s="512"/>
      <c r="T55" s="512"/>
      <c r="U55" s="512"/>
      <c r="V55" s="516"/>
      <c r="W55" s="512"/>
      <c r="X55" s="512"/>
      <c r="Y55" s="512"/>
      <c r="Z55" s="512"/>
      <c r="AA55" s="512"/>
    </row>
    <row r="56" spans="2:27">
      <c r="F56" s="118"/>
      <c r="G56" s="514"/>
      <c r="H56" s="524"/>
      <c r="O56" s="515"/>
      <c r="S56" s="512"/>
      <c r="T56" s="512"/>
      <c r="U56" s="512"/>
      <c r="V56" s="516"/>
      <c r="W56" s="512"/>
      <c r="X56" s="512"/>
      <c r="Y56" s="512"/>
      <c r="Z56" s="512"/>
      <c r="AA56" s="512"/>
    </row>
    <row r="57" spans="2:27">
      <c r="H57" s="524"/>
      <c r="O57" s="515"/>
      <c r="S57" s="512"/>
      <c r="T57" s="512"/>
      <c r="U57" s="512"/>
      <c r="V57" s="516"/>
      <c r="W57" s="512"/>
      <c r="X57" s="512"/>
      <c r="Y57" s="512"/>
      <c r="Z57" s="512"/>
      <c r="AA57" s="512"/>
    </row>
    <row r="58" spans="2:27">
      <c r="H58" s="524"/>
      <c r="O58" s="515"/>
      <c r="S58" s="512"/>
      <c r="T58" s="512"/>
      <c r="U58" s="512"/>
      <c r="V58" s="516"/>
      <c r="W58" s="512"/>
      <c r="X58" s="512"/>
      <c r="Y58" s="512"/>
      <c r="Z58" s="512"/>
      <c r="AA58" s="512"/>
    </row>
    <row r="59" spans="2:27">
      <c r="H59" s="524"/>
      <c r="O59" s="515"/>
      <c r="S59" s="512"/>
      <c r="T59" s="512"/>
      <c r="U59" s="512"/>
      <c r="V59" s="516"/>
      <c r="W59" s="512"/>
      <c r="X59" s="512"/>
      <c r="Y59" s="512"/>
      <c r="Z59" s="512"/>
      <c r="AA59" s="512"/>
    </row>
    <row r="60" spans="2:27">
      <c r="H60" s="524"/>
      <c r="O60" s="515"/>
      <c r="S60" s="512"/>
      <c r="T60" s="512"/>
      <c r="U60" s="512"/>
      <c r="V60" s="516"/>
      <c r="W60" s="512"/>
      <c r="X60" s="512"/>
      <c r="Y60" s="512"/>
      <c r="Z60" s="512"/>
      <c r="AA60" s="512"/>
    </row>
    <row r="61" spans="2:27">
      <c r="H61" s="524"/>
      <c r="O61" s="515"/>
      <c r="S61" s="512"/>
      <c r="T61" s="512"/>
      <c r="U61" s="512"/>
      <c r="V61" s="516"/>
      <c r="W61" s="512"/>
      <c r="X61" s="512"/>
      <c r="Y61" s="512"/>
      <c r="Z61" s="512"/>
      <c r="AA61" s="512"/>
    </row>
    <row r="62" spans="2:27">
      <c r="H62" s="524"/>
      <c r="O62" s="515"/>
      <c r="S62" s="512"/>
      <c r="T62" s="512"/>
      <c r="U62" s="512"/>
      <c r="V62" s="516"/>
      <c r="W62" s="512"/>
      <c r="X62" s="512"/>
      <c r="Y62" s="512"/>
      <c r="Z62" s="512"/>
      <c r="AA62" s="512"/>
    </row>
    <row r="63" spans="2:27">
      <c r="H63" s="524"/>
      <c r="O63" s="515"/>
      <c r="S63" s="512"/>
      <c r="T63" s="512"/>
      <c r="U63" s="512"/>
      <c r="V63" s="516"/>
      <c r="W63" s="512"/>
      <c r="X63" s="512"/>
      <c r="Y63" s="512"/>
      <c r="Z63" s="512"/>
      <c r="AA63" s="512"/>
    </row>
    <row r="64" spans="2:27">
      <c r="H64" s="524"/>
      <c r="O64" s="515"/>
      <c r="S64" s="512"/>
      <c r="T64" s="512"/>
      <c r="U64" s="512"/>
      <c r="V64" s="516"/>
      <c r="W64" s="512"/>
      <c r="X64" s="512"/>
      <c r="Y64" s="512"/>
      <c r="Z64" s="512"/>
      <c r="AA64" s="512"/>
    </row>
    <row r="65" spans="19:27">
      <c r="S65" s="512"/>
      <c r="T65" s="512"/>
      <c r="U65" s="512"/>
      <c r="V65" s="516"/>
      <c r="W65" s="512"/>
      <c r="X65" s="512"/>
      <c r="Y65" s="512"/>
      <c r="Z65" s="512"/>
      <c r="AA65" s="512"/>
    </row>
    <row r="66" spans="19:27">
      <c r="S66" s="512"/>
      <c r="T66" s="512"/>
      <c r="U66" s="512"/>
      <c r="V66" s="516"/>
      <c r="W66" s="512"/>
      <c r="X66" s="512"/>
      <c r="Y66" s="512"/>
      <c r="Z66" s="512"/>
      <c r="AA66" s="512"/>
    </row>
    <row r="67" spans="19:27">
      <c r="S67" s="512"/>
      <c r="T67" s="512"/>
      <c r="U67" s="512"/>
      <c r="V67" s="516"/>
      <c r="W67" s="512"/>
      <c r="X67" s="512"/>
      <c r="Y67" s="512"/>
      <c r="Z67" s="512"/>
      <c r="AA67" s="512"/>
    </row>
    <row r="68" spans="19:27">
      <c r="S68" s="512"/>
      <c r="T68" s="512"/>
      <c r="U68" s="512"/>
      <c r="V68" s="516"/>
      <c r="W68" s="512"/>
      <c r="X68" s="512"/>
      <c r="Y68" s="512"/>
      <c r="Z68" s="512"/>
      <c r="AA68" s="512"/>
    </row>
    <row r="69" spans="19:27">
      <c r="S69" s="512"/>
      <c r="T69" s="512"/>
      <c r="U69" s="512"/>
      <c r="V69" s="516"/>
      <c r="W69" s="512"/>
      <c r="X69" s="512"/>
      <c r="Y69" s="512"/>
      <c r="Z69" s="512"/>
      <c r="AA69" s="512"/>
    </row>
    <row r="70" spans="19:27">
      <c r="S70" s="512"/>
      <c r="T70" s="512"/>
      <c r="U70" s="512"/>
      <c r="V70" s="516"/>
      <c r="W70" s="512"/>
      <c r="X70" s="512"/>
      <c r="Y70" s="512"/>
      <c r="Z70" s="512"/>
      <c r="AA70" s="512"/>
    </row>
    <row r="71" spans="19:27">
      <c r="S71" s="512"/>
      <c r="T71" s="512"/>
      <c r="U71" s="512"/>
      <c r="V71" s="516"/>
      <c r="W71" s="512"/>
      <c r="X71" s="512"/>
      <c r="Y71" s="512"/>
      <c r="Z71" s="512"/>
      <c r="AA71" s="512"/>
    </row>
    <row r="72" spans="19:27">
      <c r="S72" s="512"/>
      <c r="T72" s="512"/>
      <c r="U72" s="512"/>
      <c r="V72" s="516"/>
      <c r="W72" s="512"/>
      <c r="X72" s="512"/>
      <c r="Y72" s="512"/>
      <c r="Z72" s="512"/>
      <c r="AA72" s="512"/>
    </row>
    <row r="73" spans="19:27">
      <c r="S73" s="512"/>
      <c r="T73" s="512"/>
      <c r="U73" s="512"/>
      <c r="V73" s="516"/>
      <c r="W73" s="512"/>
      <c r="X73" s="512"/>
      <c r="Y73" s="512"/>
      <c r="Z73" s="512"/>
      <c r="AA73" s="512"/>
    </row>
    <row r="74" spans="19:27">
      <c r="S74" s="512"/>
      <c r="T74" s="512"/>
      <c r="U74" s="512"/>
      <c r="V74" s="516"/>
      <c r="W74" s="512"/>
      <c r="X74" s="512"/>
      <c r="Y74" s="512"/>
      <c r="Z74" s="512"/>
      <c r="AA74" s="512"/>
    </row>
    <row r="75" spans="19:27">
      <c r="S75" s="512"/>
      <c r="T75" s="512"/>
      <c r="U75" s="512"/>
      <c r="V75" s="512"/>
      <c r="W75" s="512"/>
      <c r="X75" s="512"/>
      <c r="Y75" s="512"/>
      <c r="Z75" s="512"/>
      <c r="AA75" s="512"/>
    </row>
    <row r="76" spans="19:27">
      <c r="S76" s="512"/>
      <c r="T76" s="512"/>
      <c r="U76" s="512"/>
      <c r="V76" s="516"/>
      <c r="W76" s="512"/>
      <c r="X76" s="512"/>
      <c r="Y76" s="512"/>
      <c r="Z76" s="512"/>
      <c r="AA76" s="512"/>
    </row>
    <row r="77" spans="19:27">
      <c r="S77" s="512"/>
      <c r="T77" s="512"/>
      <c r="U77" s="512"/>
      <c r="V77" s="516"/>
      <c r="W77" s="512"/>
      <c r="X77" s="512"/>
      <c r="Y77" s="512"/>
      <c r="Z77" s="512"/>
      <c r="AA77" s="512"/>
    </row>
    <row r="78" spans="19:27">
      <c r="S78" s="512"/>
      <c r="T78" s="512"/>
      <c r="U78" s="512"/>
      <c r="V78" s="516"/>
      <c r="W78" s="512"/>
      <c r="X78" s="512"/>
      <c r="Y78" s="512"/>
      <c r="Z78" s="512"/>
      <c r="AA78" s="512"/>
    </row>
    <row r="79" spans="19:27">
      <c r="S79" s="512"/>
      <c r="T79" s="512"/>
      <c r="U79" s="512"/>
      <c r="V79" s="516"/>
      <c r="W79" s="512"/>
      <c r="X79" s="512"/>
      <c r="Y79" s="512"/>
      <c r="Z79" s="512"/>
      <c r="AA79" s="512"/>
    </row>
    <row r="80" spans="19:27">
      <c r="S80" s="512"/>
      <c r="T80" s="512"/>
      <c r="U80" s="512"/>
      <c r="V80" s="516"/>
      <c r="W80" s="512"/>
      <c r="X80" s="512"/>
      <c r="Y80" s="512"/>
      <c r="Z80" s="512"/>
      <c r="AA80" s="512"/>
    </row>
    <row r="81" spans="19:27">
      <c r="S81" s="512"/>
      <c r="T81" s="512"/>
      <c r="U81" s="512"/>
      <c r="V81" s="516"/>
      <c r="W81" s="512"/>
      <c r="X81" s="512"/>
      <c r="Y81" s="512"/>
      <c r="Z81" s="512"/>
      <c r="AA81" s="512"/>
    </row>
    <row r="82" spans="19:27">
      <c r="S82" s="512"/>
      <c r="T82" s="512"/>
      <c r="U82" s="512"/>
      <c r="V82" s="516"/>
      <c r="W82" s="512"/>
      <c r="X82" s="512"/>
      <c r="Y82" s="512"/>
      <c r="Z82" s="512"/>
      <c r="AA82" s="512"/>
    </row>
    <row r="83" spans="19:27">
      <c r="S83" s="512"/>
      <c r="T83" s="512"/>
      <c r="U83" s="512"/>
      <c r="V83" s="516"/>
      <c r="W83" s="512"/>
      <c r="X83" s="512"/>
      <c r="Y83" s="512"/>
      <c r="Z83" s="512"/>
      <c r="AA83" s="512"/>
    </row>
    <row r="84" spans="19:27">
      <c r="S84" s="512"/>
      <c r="T84" s="512"/>
      <c r="U84" s="512"/>
      <c r="V84" s="516"/>
      <c r="W84" s="512"/>
      <c r="X84" s="512"/>
      <c r="Y84" s="512"/>
      <c r="Z84" s="512"/>
      <c r="AA84" s="512"/>
    </row>
    <row r="85" spans="19:27">
      <c r="S85" s="512"/>
      <c r="T85" s="512"/>
      <c r="U85" s="512"/>
      <c r="V85" s="516"/>
      <c r="W85" s="512"/>
      <c r="X85" s="512"/>
      <c r="Y85" s="512"/>
      <c r="Z85" s="512"/>
      <c r="AA85" s="512"/>
    </row>
    <row r="86" spans="19:27">
      <c r="S86" s="512"/>
      <c r="T86" s="512"/>
      <c r="U86" s="512"/>
      <c r="V86" s="516"/>
      <c r="W86" s="512"/>
      <c r="X86" s="512"/>
      <c r="Y86" s="512"/>
      <c r="Z86" s="512"/>
      <c r="AA86" s="512"/>
    </row>
    <row r="87" spans="19:27">
      <c r="S87" s="512"/>
      <c r="T87" s="512"/>
      <c r="U87" s="512"/>
      <c r="V87" s="516"/>
      <c r="W87" s="512"/>
      <c r="X87" s="512"/>
      <c r="Y87" s="512"/>
      <c r="Z87" s="512"/>
      <c r="AA87" s="512"/>
    </row>
    <row r="88" spans="19:27">
      <c r="S88" s="512"/>
      <c r="T88" s="512"/>
      <c r="U88" s="512"/>
      <c r="V88" s="516"/>
      <c r="W88" s="512"/>
      <c r="X88" s="512"/>
      <c r="Y88" s="512"/>
      <c r="Z88" s="512"/>
      <c r="AA88" s="512"/>
    </row>
    <row r="89" spans="19:27">
      <c r="S89" s="512"/>
      <c r="T89" s="512"/>
      <c r="U89" s="512"/>
      <c r="V89" s="516"/>
      <c r="W89" s="512"/>
      <c r="X89" s="512"/>
      <c r="Y89" s="512"/>
      <c r="Z89" s="512"/>
      <c r="AA89" s="512"/>
    </row>
    <row r="90" spans="19:27">
      <c r="S90" s="512"/>
      <c r="T90" s="512"/>
      <c r="U90" s="512"/>
      <c r="V90" s="516"/>
      <c r="W90" s="512"/>
      <c r="X90" s="512"/>
      <c r="Y90" s="512"/>
      <c r="Z90" s="512"/>
      <c r="AA90" s="512"/>
    </row>
    <row r="91" spans="19:27">
      <c r="S91" s="512"/>
      <c r="T91" s="512"/>
      <c r="U91" s="512"/>
      <c r="V91" s="516"/>
      <c r="W91" s="512"/>
      <c r="X91" s="512"/>
      <c r="Y91" s="512"/>
      <c r="Z91" s="512"/>
      <c r="AA91" s="512"/>
    </row>
    <row r="92" spans="19:27">
      <c r="S92" s="512"/>
      <c r="T92" s="512"/>
      <c r="U92" s="512"/>
      <c r="V92" s="516"/>
      <c r="W92" s="512"/>
      <c r="X92" s="512"/>
      <c r="Y92" s="512"/>
      <c r="Z92" s="512"/>
      <c r="AA92" s="512"/>
    </row>
    <row r="93" spans="19:27">
      <c r="S93" s="512"/>
      <c r="T93" s="512"/>
      <c r="U93" s="512"/>
      <c r="V93" s="516"/>
      <c r="W93" s="512"/>
      <c r="X93" s="512"/>
      <c r="Y93" s="512"/>
      <c r="Z93" s="512"/>
      <c r="AA93" s="512"/>
    </row>
    <row r="94" spans="19:27">
      <c r="S94" s="512"/>
      <c r="T94" s="512"/>
      <c r="U94" s="512"/>
      <c r="V94" s="516"/>
      <c r="W94" s="512"/>
      <c r="X94" s="512"/>
      <c r="Y94" s="512"/>
      <c r="Z94" s="512"/>
      <c r="AA94" s="512"/>
    </row>
    <row r="95" spans="19:27">
      <c r="S95" s="512"/>
      <c r="T95" s="512"/>
      <c r="U95" s="512"/>
      <c r="V95" s="516"/>
      <c r="W95" s="512"/>
      <c r="X95" s="512"/>
      <c r="Y95" s="512"/>
      <c r="Z95" s="512"/>
      <c r="AA95" s="512"/>
    </row>
    <row r="96" spans="19:27">
      <c r="S96" s="512"/>
      <c r="T96" s="512"/>
      <c r="U96" s="512"/>
      <c r="V96" s="516"/>
      <c r="W96" s="512"/>
      <c r="X96" s="512"/>
      <c r="Y96" s="512"/>
      <c r="Z96" s="512"/>
      <c r="AA96" s="512"/>
    </row>
    <row r="97" spans="19:27">
      <c r="S97" s="512"/>
      <c r="T97" s="512"/>
      <c r="U97" s="512"/>
      <c r="V97" s="516"/>
      <c r="W97" s="512"/>
      <c r="X97" s="512"/>
      <c r="Y97" s="512"/>
      <c r="Z97" s="512"/>
      <c r="AA97" s="512"/>
    </row>
    <row r="98" spans="19:27">
      <c r="S98" s="512"/>
      <c r="T98" s="512"/>
      <c r="U98" s="512"/>
      <c r="V98" s="516"/>
      <c r="W98" s="512"/>
      <c r="X98" s="512"/>
      <c r="Y98" s="512"/>
      <c r="Z98" s="512"/>
      <c r="AA98" s="512"/>
    </row>
    <row r="99" spans="19:27">
      <c r="S99" s="512"/>
      <c r="T99" s="512"/>
      <c r="U99" s="512"/>
      <c r="V99" s="516"/>
      <c r="W99" s="512"/>
      <c r="X99" s="512"/>
      <c r="Y99" s="512"/>
      <c r="Z99" s="512"/>
      <c r="AA99" s="512"/>
    </row>
    <row r="100" spans="19:27">
      <c r="S100" s="512"/>
      <c r="T100" s="512"/>
      <c r="U100" s="512"/>
      <c r="V100" s="516"/>
      <c r="W100" s="512"/>
      <c r="X100" s="512"/>
      <c r="Y100" s="512"/>
      <c r="Z100" s="512"/>
      <c r="AA100" s="512"/>
    </row>
    <row r="101" spans="19:27">
      <c r="S101" s="512"/>
      <c r="T101" s="512"/>
      <c r="U101" s="512"/>
      <c r="V101" s="516"/>
      <c r="W101" s="512"/>
      <c r="X101" s="512"/>
      <c r="Y101" s="512"/>
      <c r="Z101" s="512"/>
      <c r="AA101" s="512"/>
    </row>
    <row r="102" spans="19:27">
      <c r="S102" s="512"/>
      <c r="T102" s="512"/>
      <c r="U102" s="512"/>
      <c r="V102" s="516"/>
      <c r="W102" s="512"/>
      <c r="X102" s="512"/>
      <c r="Y102" s="512"/>
      <c r="Z102" s="512"/>
      <c r="AA102" s="512"/>
    </row>
    <row r="103" spans="19:27">
      <c r="S103" s="512"/>
      <c r="T103" s="512"/>
      <c r="U103" s="512"/>
      <c r="V103" s="516"/>
      <c r="W103" s="512"/>
      <c r="X103" s="512"/>
      <c r="Y103" s="512"/>
      <c r="Z103" s="512"/>
      <c r="AA103" s="512"/>
    </row>
    <row r="104" spans="19:27">
      <c r="S104" s="512"/>
      <c r="T104" s="512"/>
      <c r="U104" s="512"/>
      <c r="V104" s="516"/>
      <c r="W104" s="512"/>
      <c r="X104" s="512"/>
      <c r="Y104" s="512"/>
      <c r="Z104" s="512"/>
      <c r="AA104" s="512"/>
    </row>
    <row r="105" spans="19:27">
      <c r="S105" s="512"/>
      <c r="T105" s="512"/>
      <c r="U105" s="512"/>
      <c r="V105" s="516"/>
      <c r="W105" s="512"/>
      <c r="X105" s="512"/>
      <c r="Y105" s="512"/>
      <c r="Z105" s="512"/>
      <c r="AA105" s="512"/>
    </row>
    <row r="106" spans="19:27">
      <c r="S106" s="512"/>
      <c r="T106" s="512"/>
      <c r="U106" s="512"/>
      <c r="V106" s="516"/>
      <c r="W106" s="512"/>
      <c r="X106" s="512"/>
      <c r="Y106" s="512"/>
      <c r="Z106" s="512"/>
      <c r="AA106" s="512"/>
    </row>
    <row r="107" spans="19:27">
      <c r="S107" s="512"/>
      <c r="T107" s="512"/>
      <c r="U107" s="512"/>
      <c r="V107" s="516"/>
      <c r="W107" s="512"/>
      <c r="X107" s="512"/>
      <c r="Y107" s="512"/>
      <c r="Z107" s="512"/>
      <c r="AA107" s="512"/>
    </row>
    <row r="108" spans="19:27">
      <c r="S108" s="512"/>
      <c r="T108" s="512"/>
      <c r="U108" s="512"/>
      <c r="V108" s="516"/>
      <c r="W108" s="512"/>
      <c r="X108" s="512"/>
      <c r="Y108" s="512"/>
      <c r="Z108" s="512"/>
      <c r="AA108" s="512"/>
    </row>
    <row r="109" spans="19:27">
      <c r="S109" s="512"/>
      <c r="T109" s="512"/>
      <c r="U109" s="512"/>
      <c r="V109" s="516"/>
      <c r="W109" s="512"/>
      <c r="X109" s="512"/>
      <c r="Y109" s="512"/>
      <c r="Z109" s="512"/>
      <c r="AA109" s="512"/>
    </row>
    <row r="110" spans="19:27">
      <c r="S110" s="512"/>
      <c r="T110" s="512"/>
      <c r="U110" s="512"/>
      <c r="V110" s="512"/>
      <c r="W110" s="512"/>
      <c r="X110" s="512"/>
      <c r="Y110" s="512"/>
      <c r="Z110" s="512"/>
      <c r="AA110" s="512"/>
    </row>
    <row r="111" spans="19:27">
      <c r="S111" s="512"/>
      <c r="T111" s="512"/>
      <c r="U111" s="512"/>
      <c r="V111" s="135"/>
      <c r="W111" s="512"/>
      <c r="X111" s="512"/>
      <c r="Y111" s="512"/>
      <c r="Z111" s="512"/>
      <c r="AA111" s="512"/>
    </row>
    <row r="112" spans="19:27">
      <c r="S112" s="512"/>
      <c r="T112" s="512"/>
      <c r="U112" s="512"/>
      <c r="V112" s="516"/>
      <c r="W112" s="512"/>
      <c r="X112" s="512"/>
      <c r="Y112" s="512"/>
      <c r="Z112" s="512"/>
      <c r="AA112" s="512"/>
    </row>
    <row r="113" spans="19:27">
      <c r="S113" s="512"/>
      <c r="T113" s="512"/>
      <c r="U113" s="512"/>
      <c r="V113" s="516"/>
      <c r="W113" s="512"/>
      <c r="X113" s="512"/>
      <c r="Y113" s="512"/>
      <c r="Z113" s="512"/>
      <c r="AA113" s="512"/>
    </row>
    <row r="114" spans="19:27">
      <c r="S114" s="512"/>
      <c r="T114" s="512"/>
      <c r="U114" s="512"/>
      <c r="V114" s="516"/>
      <c r="W114" s="512"/>
      <c r="X114" s="512"/>
      <c r="Y114" s="512"/>
      <c r="Z114" s="512"/>
      <c r="AA114" s="512"/>
    </row>
    <row r="115" spans="19:27">
      <c r="S115" s="512"/>
      <c r="T115" s="512"/>
      <c r="U115" s="512"/>
      <c r="V115" s="516"/>
      <c r="W115" s="512"/>
      <c r="X115" s="512"/>
      <c r="Y115" s="512"/>
      <c r="Z115" s="512"/>
      <c r="AA115" s="512"/>
    </row>
    <row r="116" spans="19:27">
      <c r="S116" s="512"/>
      <c r="T116" s="512"/>
      <c r="U116" s="512"/>
      <c r="V116" s="525"/>
      <c r="W116" s="512"/>
      <c r="X116" s="512"/>
      <c r="Y116" s="512"/>
      <c r="Z116" s="512"/>
      <c r="AA116" s="512"/>
    </row>
    <row r="117" spans="19:27">
      <c r="S117" s="512"/>
      <c r="T117" s="512"/>
      <c r="U117" s="512"/>
      <c r="V117" s="516"/>
      <c r="W117" s="512"/>
      <c r="X117" s="512"/>
      <c r="Y117" s="512"/>
      <c r="Z117" s="512"/>
      <c r="AA117" s="512"/>
    </row>
    <row r="118" spans="19:27">
      <c r="S118" s="512"/>
      <c r="T118" s="512"/>
      <c r="U118" s="512"/>
      <c r="V118" s="516"/>
      <c r="W118" s="512"/>
      <c r="X118" s="512"/>
      <c r="Y118" s="512"/>
      <c r="Z118" s="512"/>
      <c r="AA118" s="512"/>
    </row>
    <row r="119" spans="19:27">
      <c r="S119" s="512"/>
      <c r="T119" s="512"/>
      <c r="U119" s="512"/>
      <c r="V119" s="516"/>
      <c r="W119" s="512"/>
      <c r="X119" s="512"/>
      <c r="Y119" s="512"/>
      <c r="Z119" s="512"/>
      <c r="AA119" s="512"/>
    </row>
    <row r="120" spans="19:27">
      <c r="W120" s="512"/>
      <c r="X120" s="512"/>
      <c r="Y120" s="512"/>
      <c r="Z120" s="512"/>
      <c r="AA120" s="512"/>
    </row>
    <row r="121" spans="19:27">
      <c r="S121" s="512"/>
      <c r="T121" s="512"/>
      <c r="U121" s="512"/>
      <c r="V121" s="512"/>
      <c r="W121" s="512"/>
      <c r="X121" s="512"/>
      <c r="Y121" s="512"/>
      <c r="Z121" s="512"/>
      <c r="AA121" s="512"/>
    </row>
    <row r="122" spans="19:27">
      <c r="S122" s="512"/>
      <c r="T122" s="512"/>
      <c r="U122" s="512"/>
      <c r="V122" s="512"/>
      <c r="W122" s="512"/>
      <c r="X122" s="512"/>
      <c r="Y122" s="512"/>
      <c r="Z122" s="512"/>
      <c r="AA122" s="512"/>
    </row>
    <row r="123" spans="19:27">
      <c r="S123" s="512"/>
      <c r="T123" s="512"/>
      <c r="U123" s="512"/>
      <c r="V123" s="512"/>
      <c r="W123" s="512"/>
      <c r="X123" s="512"/>
      <c r="Y123" s="512"/>
      <c r="Z123" s="512"/>
      <c r="AA123" s="512"/>
    </row>
    <row r="124" spans="19:27">
      <c r="S124" s="512"/>
      <c r="T124" s="512"/>
      <c r="U124" s="512"/>
      <c r="V124" s="512"/>
      <c r="W124" s="512"/>
      <c r="X124" s="512"/>
      <c r="Y124" s="512"/>
      <c r="Z124" s="512"/>
      <c r="AA124" s="512"/>
    </row>
    <row r="125" spans="19:27">
      <c r="S125" s="512"/>
      <c r="T125" s="512"/>
      <c r="U125" s="512"/>
      <c r="V125" s="512"/>
      <c r="W125" s="512"/>
      <c r="X125" s="512"/>
      <c r="Y125" s="512"/>
      <c r="Z125" s="512"/>
      <c r="AA125" s="512"/>
    </row>
    <row r="126" spans="19:27">
      <c r="S126" s="512"/>
      <c r="T126" s="512"/>
      <c r="U126" s="512"/>
      <c r="V126" s="512"/>
      <c r="W126" s="512"/>
      <c r="X126" s="512"/>
      <c r="Y126" s="512"/>
      <c r="Z126" s="512"/>
      <c r="AA126" s="512"/>
    </row>
    <row r="127" spans="19:27">
      <c r="S127" s="512"/>
      <c r="T127" s="512"/>
      <c r="U127" s="512"/>
      <c r="V127" s="512"/>
      <c r="W127" s="512"/>
      <c r="X127" s="512"/>
      <c r="Y127" s="512"/>
      <c r="Z127" s="512"/>
      <c r="AA127" s="512"/>
    </row>
    <row r="128" spans="19:27">
      <c r="S128" s="512"/>
      <c r="T128" s="512"/>
      <c r="U128" s="512"/>
      <c r="V128" s="512"/>
      <c r="W128" s="512"/>
      <c r="X128" s="512"/>
      <c r="Y128" s="512"/>
      <c r="Z128" s="512"/>
      <c r="AA128" s="512"/>
    </row>
    <row r="129" spans="19:27">
      <c r="S129" s="512"/>
      <c r="T129" s="512"/>
      <c r="U129" s="512"/>
      <c r="V129" s="512"/>
      <c r="W129" s="512"/>
      <c r="X129" s="512"/>
      <c r="Y129" s="512"/>
      <c r="Z129" s="512"/>
      <c r="AA129" s="512"/>
    </row>
    <row r="130" spans="19:27">
      <c r="S130" s="512"/>
      <c r="T130" s="512"/>
      <c r="U130" s="512"/>
      <c r="V130" s="512"/>
      <c r="W130" s="512"/>
      <c r="X130" s="512"/>
      <c r="Y130" s="512"/>
      <c r="Z130" s="512"/>
      <c r="AA130" s="512"/>
    </row>
    <row r="131" spans="19:27">
      <c r="S131" s="512"/>
      <c r="T131" s="512"/>
      <c r="U131" s="512"/>
      <c r="V131" s="512"/>
      <c r="W131" s="512"/>
      <c r="X131" s="512"/>
      <c r="Y131" s="512"/>
      <c r="Z131" s="512"/>
      <c r="AA131" s="512"/>
    </row>
    <row r="132" spans="19:27">
      <c r="S132" s="512"/>
      <c r="T132" s="512"/>
      <c r="U132" s="512"/>
      <c r="V132" s="512"/>
      <c r="W132" s="512"/>
      <c r="X132" s="512"/>
      <c r="Y132" s="512"/>
      <c r="Z132" s="512"/>
      <c r="AA132" s="512"/>
    </row>
    <row r="133" spans="19:27">
      <c r="S133" s="512"/>
      <c r="T133" s="512"/>
      <c r="U133" s="512"/>
      <c r="V133" s="512"/>
      <c r="W133" s="512"/>
      <c r="X133" s="512"/>
      <c r="Y133" s="512"/>
      <c r="Z133" s="512"/>
      <c r="AA133" s="512"/>
    </row>
    <row r="134" spans="19:27">
      <c r="S134" s="512"/>
      <c r="T134" s="512"/>
      <c r="U134" s="512"/>
      <c r="V134" s="512"/>
      <c r="W134" s="512"/>
      <c r="X134" s="512"/>
      <c r="Y134" s="512"/>
      <c r="Z134" s="512"/>
      <c r="AA134" s="512"/>
    </row>
    <row r="135" spans="19:27">
      <c r="S135" s="512"/>
      <c r="T135" s="512"/>
      <c r="U135" s="512"/>
      <c r="V135" s="512"/>
      <c r="W135" s="512"/>
      <c r="X135" s="512"/>
      <c r="Y135" s="512"/>
      <c r="Z135" s="512"/>
      <c r="AA135" s="512"/>
    </row>
    <row r="136" spans="19:27">
      <c r="S136" s="512"/>
      <c r="T136" s="512"/>
      <c r="U136" s="512"/>
      <c r="V136" s="512"/>
      <c r="W136" s="512"/>
      <c r="X136" s="512"/>
      <c r="Y136" s="512"/>
      <c r="Z136" s="512"/>
      <c r="AA136" s="512"/>
    </row>
    <row r="137" spans="19:27">
      <c r="S137" s="512"/>
      <c r="T137" s="512"/>
      <c r="U137" s="512"/>
      <c r="V137" s="512"/>
      <c r="W137" s="512"/>
      <c r="X137" s="512"/>
      <c r="Y137" s="512"/>
      <c r="Z137" s="512"/>
      <c r="AA137" s="512"/>
    </row>
    <row r="138" spans="19:27">
      <c r="S138" s="512"/>
      <c r="T138" s="512"/>
      <c r="U138" s="512"/>
      <c r="V138" s="512"/>
      <c r="W138" s="512"/>
      <c r="X138" s="512"/>
      <c r="Y138" s="512"/>
      <c r="Z138" s="512"/>
      <c r="AA138" s="512"/>
    </row>
    <row r="139" spans="19:27">
      <c r="S139" s="512"/>
      <c r="T139" s="512"/>
      <c r="U139" s="512"/>
      <c r="V139" s="512"/>
      <c r="W139" s="512"/>
      <c r="X139" s="512"/>
      <c r="Y139" s="512"/>
      <c r="Z139" s="512"/>
      <c r="AA139" s="512"/>
    </row>
    <row r="140" spans="19:27">
      <c r="S140" s="512"/>
      <c r="T140" s="512"/>
      <c r="U140" s="512"/>
      <c r="V140" s="512"/>
      <c r="W140" s="512"/>
      <c r="X140" s="512"/>
      <c r="Y140" s="512"/>
      <c r="Z140" s="512"/>
      <c r="AA140" s="512"/>
    </row>
    <row r="141" spans="19:27">
      <c r="S141" s="512"/>
      <c r="T141" s="512"/>
      <c r="U141" s="512"/>
      <c r="V141" s="512"/>
      <c r="W141" s="512"/>
      <c r="X141" s="512"/>
      <c r="Y141" s="512"/>
      <c r="Z141" s="512"/>
      <c r="AA141" s="512"/>
    </row>
    <row r="142" spans="19:27">
      <c r="S142" s="512"/>
      <c r="T142" s="512"/>
      <c r="U142" s="512"/>
      <c r="V142" s="512"/>
      <c r="W142" s="512"/>
      <c r="X142" s="512"/>
      <c r="Y142" s="512"/>
      <c r="Z142" s="512"/>
      <c r="AA142" s="512"/>
    </row>
    <row r="143" spans="19:27">
      <c r="S143" s="512"/>
      <c r="T143" s="512"/>
      <c r="U143" s="512"/>
      <c r="V143" s="512"/>
      <c r="W143" s="512"/>
      <c r="X143" s="512"/>
      <c r="Y143" s="512"/>
      <c r="Z143" s="512"/>
      <c r="AA143" s="512"/>
    </row>
    <row r="144" spans="19:27">
      <c r="S144" s="512"/>
      <c r="T144" s="512"/>
      <c r="U144" s="512"/>
      <c r="V144" s="512"/>
      <c r="W144" s="512"/>
      <c r="X144" s="512"/>
      <c r="Y144" s="512"/>
      <c r="Z144" s="512"/>
      <c r="AA144" s="512"/>
    </row>
    <row r="145" spans="19:27">
      <c r="S145" s="512"/>
      <c r="T145" s="512"/>
      <c r="U145" s="512"/>
      <c r="V145" s="512"/>
      <c r="W145" s="512"/>
      <c r="X145" s="512"/>
      <c r="Y145" s="512"/>
      <c r="Z145" s="512"/>
      <c r="AA145" s="512"/>
    </row>
    <row r="146" spans="19:27">
      <c r="S146" s="512"/>
      <c r="T146" s="512"/>
      <c r="U146" s="512"/>
      <c r="V146" s="512"/>
      <c r="W146" s="512"/>
      <c r="X146" s="512"/>
      <c r="Y146" s="512"/>
      <c r="Z146" s="512"/>
      <c r="AA146" s="512"/>
    </row>
    <row r="147" spans="19:27">
      <c r="S147" s="512"/>
      <c r="T147" s="512"/>
      <c r="U147" s="512"/>
      <c r="V147" s="512"/>
      <c r="W147" s="512"/>
      <c r="X147" s="512"/>
      <c r="Y147" s="512"/>
      <c r="Z147" s="512"/>
      <c r="AA147" s="512"/>
    </row>
    <row r="148" spans="19:27">
      <c r="S148" s="512"/>
      <c r="T148" s="512"/>
      <c r="U148" s="512"/>
      <c r="V148" s="512"/>
      <c r="W148" s="512"/>
      <c r="X148" s="512"/>
      <c r="Y148" s="512"/>
      <c r="Z148" s="512"/>
      <c r="AA148" s="512"/>
    </row>
    <row r="149" spans="19:27">
      <c r="S149" s="512"/>
      <c r="T149" s="512"/>
      <c r="U149" s="512"/>
      <c r="V149" s="512"/>
      <c r="W149" s="512"/>
      <c r="X149" s="512"/>
      <c r="Y149" s="512"/>
      <c r="Z149" s="512"/>
      <c r="AA149" s="512"/>
    </row>
    <row r="150" spans="19:27">
      <c r="S150" s="512"/>
      <c r="T150" s="512"/>
      <c r="U150" s="512"/>
      <c r="V150" s="512"/>
      <c r="W150" s="512"/>
      <c r="X150" s="512"/>
      <c r="Y150" s="512"/>
      <c r="Z150" s="512"/>
      <c r="AA150" s="512"/>
    </row>
    <row r="151" spans="19:27">
      <c r="S151" s="512"/>
      <c r="T151" s="512"/>
      <c r="U151" s="512"/>
      <c r="V151" s="512"/>
      <c r="W151" s="512"/>
      <c r="X151" s="512"/>
      <c r="Y151" s="512"/>
      <c r="Z151" s="512"/>
      <c r="AA151" s="512"/>
    </row>
    <row r="152" spans="19:27">
      <c r="S152" s="512"/>
      <c r="T152" s="512"/>
      <c r="U152" s="512"/>
      <c r="V152" s="512"/>
      <c r="W152" s="512"/>
      <c r="X152" s="512"/>
      <c r="Y152" s="512"/>
      <c r="Z152" s="512"/>
      <c r="AA152" s="512"/>
    </row>
    <row r="153" spans="19:27">
      <c r="S153" s="512"/>
      <c r="T153" s="512"/>
      <c r="U153" s="512"/>
      <c r="V153" s="512"/>
      <c r="W153" s="512"/>
      <c r="X153" s="512"/>
      <c r="Y153" s="512"/>
      <c r="Z153" s="512"/>
      <c r="AA153" s="512"/>
    </row>
    <row r="154" spans="19:27">
      <c r="S154" s="512"/>
      <c r="T154" s="512"/>
      <c r="U154" s="512"/>
      <c r="V154" s="512"/>
      <c r="W154" s="512"/>
      <c r="X154" s="512"/>
      <c r="Y154" s="512"/>
      <c r="Z154" s="512"/>
      <c r="AA154" s="512"/>
    </row>
    <row r="155" spans="19:27">
      <c r="W155" s="512"/>
      <c r="X155" s="512"/>
      <c r="Y155" s="512"/>
      <c r="Z155" s="512"/>
      <c r="AA155" s="512"/>
    </row>
    <row r="156" spans="19:27">
      <c r="W156" s="512"/>
      <c r="X156" s="512"/>
      <c r="Y156" s="512"/>
      <c r="Z156" s="512"/>
      <c r="AA156" s="512"/>
    </row>
    <row r="157" spans="19:27">
      <c r="W157" s="512"/>
      <c r="X157" s="512"/>
      <c r="Y157" s="512"/>
      <c r="Z157" s="512"/>
      <c r="AA157" s="512"/>
    </row>
    <row r="158" spans="19:27">
      <c r="W158" s="512"/>
      <c r="X158" s="512"/>
      <c r="Y158" s="512"/>
      <c r="Z158" s="512"/>
      <c r="AA158" s="512"/>
    </row>
    <row r="159" spans="19:27">
      <c r="W159" s="512"/>
      <c r="X159" s="512"/>
      <c r="Y159" s="512"/>
      <c r="Z159" s="512"/>
      <c r="AA159" s="512"/>
    </row>
    <row r="160" spans="19:27">
      <c r="W160" s="512"/>
      <c r="X160" s="512"/>
      <c r="Y160" s="512"/>
      <c r="Z160" s="512"/>
      <c r="AA160" s="512"/>
    </row>
    <row r="161" spans="23:27">
      <c r="W161" s="512"/>
      <c r="X161" s="512"/>
      <c r="Y161" s="512"/>
      <c r="Z161" s="512"/>
      <c r="AA161" s="512"/>
    </row>
    <row r="162" spans="23:27">
      <c r="W162" s="512"/>
      <c r="X162" s="512"/>
      <c r="Y162" s="512"/>
      <c r="Z162" s="512"/>
      <c r="AA162" s="512"/>
    </row>
    <row r="163" spans="23:27">
      <c r="W163" s="512"/>
      <c r="X163" s="512"/>
      <c r="Y163" s="512"/>
      <c r="Z163" s="512"/>
      <c r="AA163" s="512"/>
    </row>
  </sheetData>
  <sortState xmlns:xlrd2="http://schemas.microsoft.com/office/spreadsheetml/2017/richdata2" ref="A2:Q39">
    <sortCondition ref="B2:B39"/>
  </sortState>
  <mergeCells count="1">
    <mergeCell ref="AF4:AI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72C4"/>
  </sheetPr>
  <dimension ref="A1:Q125"/>
  <sheetViews>
    <sheetView showGridLines="0" workbookViewId="0">
      <pane ySplit="1" topLeftCell="C5" activePane="bottomLeft" state="frozen"/>
      <selection pane="bottomLeft" activeCell="C5" sqref="C5"/>
    </sheetView>
  </sheetViews>
  <sheetFormatPr defaultColWidth="8.875" defaultRowHeight="15.75"/>
  <cols>
    <col min="1" max="1" width="8.875" style="293"/>
    <col min="2" max="2" width="51.375" style="281" bestFit="1" customWidth="1"/>
    <col min="3" max="3" width="21.125" style="382" bestFit="1" customWidth="1"/>
    <col min="4" max="4" width="24.875" style="382" bestFit="1" customWidth="1"/>
    <col min="5" max="5" width="20.375" style="382" bestFit="1" customWidth="1"/>
    <col min="6" max="6" width="20.625" style="382" bestFit="1" customWidth="1"/>
    <col min="7" max="7" width="14.125" style="383" bestFit="1" customWidth="1"/>
    <col min="8" max="8" width="19.375" style="360" bestFit="1" customWidth="1"/>
    <col min="9" max="9" width="18.875" style="281" bestFit="1" customWidth="1"/>
    <col min="10" max="10" width="16.375" style="281" customWidth="1"/>
    <col min="11" max="16" width="8.875" style="281"/>
    <col min="17" max="17" width="8.875" style="307"/>
    <col min="18" max="16384" width="8.875" style="281"/>
  </cols>
  <sheetData>
    <row r="1" spans="1:15" s="292" customFormat="1" ht="34.35" customHeight="1">
      <c r="A1" s="291"/>
      <c r="B1" s="460" t="s">
        <v>2156</v>
      </c>
      <c r="C1" s="461" t="s">
        <v>2174</v>
      </c>
      <c r="D1" s="461" t="s">
        <v>2175</v>
      </c>
      <c r="E1" s="461" t="s">
        <v>2176</v>
      </c>
      <c r="F1" s="461" t="s">
        <v>2160</v>
      </c>
      <c r="G1" s="462" t="s">
        <v>2177</v>
      </c>
      <c r="H1" s="463" t="s">
        <v>2164</v>
      </c>
      <c r="I1" s="357"/>
      <c r="J1" s="357"/>
      <c r="K1" s="357"/>
      <c r="L1" s="357"/>
      <c r="M1" s="357"/>
      <c r="N1" s="357"/>
      <c r="O1" s="357"/>
    </row>
    <row r="2" spans="1:15">
      <c r="H2" s="281"/>
      <c r="I2" s="358"/>
      <c r="J2" s="363"/>
      <c r="K2" s="358"/>
      <c r="L2" s="358"/>
      <c r="M2" s="358"/>
      <c r="N2" s="358"/>
      <c r="O2" s="358"/>
    </row>
    <row r="4" spans="1:15">
      <c r="B4" s="384" t="s">
        <v>2178</v>
      </c>
      <c r="C4" s="385">
        <f>C5+C6</f>
        <v>17.082269655980028</v>
      </c>
      <c r="D4" s="385">
        <f>D5+D6</f>
        <v>3.0783124040593925</v>
      </c>
      <c r="E4" s="385">
        <f>E5+E6</f>
        <v>7.5385531842703593</v>
      </c>
      <c r="F4" s="385">
        <f>F5+F6</f>
        <v>27.69913524430978</v>
      </c>
      <c r="G4" s="385"/>
      <c r="H4" s="355"/>
    </row>
    <row r="5" spans="1:15">
      <c r="B5" s="292" t="s">
        <v>2179</v>
      </c>
      <c r="C5" s="381">
        <f>SUMIFS('AGGREGATES by country'!C:C,'AGGREGATES by country'!A:A,1)</f>
        <v>4.759769655980028</v>
      </c>
      <c r="D5" s="381">
        <f>SUMIFS('AGGREGATES by country'!D:D,'AGGREGATES by country'!A:A,1)</f>
        <v>1.6583124040593924</v>
      </c>
      <c r="E5" s="381">
        <f>SUMIFS('AGGREGATES by country'!E:E,'AGGREGATES by country'!A:A,1)</f>
        <v>5.5385531842703593</v>
      </c>
      <c r="F5" s="386">
        <f>SUM(C5:E5)</f>
        <v>11.95663524430978</v>
      </c>
      <c r="G5" s="383">
        <f>SUMIFS('AGGREGATES by country'!I:I,'AGGREGATES by country'!A:A,1)/1000000000</f>
        <v>14480.998633536397</v>
      </c>
      <c r="H5" s="355">
        <f>F5/G5*100</f>
        <v>8.256775341874234E-2</v>
      </c>
      <c r="I5" s="358"/>
      <c r="J5" s="363"/>
      <c r="K5" s="358"/>
      <c r="L5" s="358"/>
      <c r="M5" s="358"/>
      <c r="N5" s="358"/>
      <c r="O5" s="358"/>
    </row>
    <row r="6" spans="1:15">
      <c r="B6" s="292" t="s">
        <v>2180</v>
      </c>
      <c r="C6" s="381">
        <f>SUM(C7:C9)</f>
        <v>12.3225</v>
      </c>
      <c r="D6" s="381">
        <f t="shared" ref="D6:E6" si="0">SUM(D7:D9)</f>
        <v>1.42</v>
      </c>
      <c r="E6" s="381">
        <f t="shared" si="0"/>
        <v>2</v>
      </c>
      <c r="F6" s="386">
        <f t="shared" ref="F6:F9" si="1">SUM(C6:E6)</f>
        <v>15.7425</v>
      </c>
      <c r="G6" s="383">
        <f>SUMIFS('AGGREGATES by country'!I:I,'AGGREGATES by country'!A:A,1)/1000000000</f>
        <v>14480.998633536397</v>
      </c>
      <c r="H6" s="355">
        <f>F6/G6*100</f>
        <v>0.10871142521581421</v>
      </c>
      <c r="I6" s="358"/>
      <c r="J6" s="363"/>
      <c r="K6" s="358"/>
      <c r="L6" s="358"/>
      <c r="M6" s="358"/>
      <c r="N6" s="358"/>
      <c r="O6" s="358"/>
    </row>
    <row r="7" spans="1:15">
      <c r="B7" s="387" t="s">
        <v>2044</v>
      </c>
      <c r="C7" s="388">
        <f>SUMIFS('MAIN DATASET'!R:R,'MAIN DATASET'!D:D,"Financial",'MAIN DATASET'!B:B,'AGGREGATES by group'!B7)/1000000000</f>
        <v>0</v>
      </c>
      <c r="D7" s="388">
        <f>SUMIFS('MAIN DATASET'!R:R,'MAIN DATASET'!D:D,"Humanitarian",'MAIN DATASET'!B:B,'AGGREGATES by group'!B7)/1000000000</f>
        <v>0</v>
      </c>
      <c r="E7" s="388">
        <f>SUMIFS('MAIN DATASET'!R:R,'MAIN DATASET'!D:D,"Military",'MAIN DATASET'!B:B,'AGGREGATES by group'!B7)/1000000000</f>
        <v>2</v>
      </c>
      <c r="F7" s="389">
        <f t="shared" si="1"/>
        <v>2</v>
      </c>
      <c r="H7" s="355"/>
      <c r="K7" s="358"/>
      <c r="L7" s="358"/>
      <c r="M7" s="358"/>
      <c r="N7" s="358"/>
      <c r="O7" s="358"/>
    </row>
    <row r="8" spans="1:15">
      <c r="B8" s="387" t="s">
        <v>2060</v>
      </c>
      <c r="C8" s="388">
        <f>SUMIFS('MAIN DATASET'!R:R,'MAIN DATASET'!D:D,"Financial",'MAIN DATASET'!B:B,'AGGREGATES by group'!B8)/1000000000</f>
        <v>2.0024999999999999</v>
      </c>
      <c r="D8" s="388">
        <f>SUMIFS('MAIN DATASET'!R:R,'MAIN DATASET'!D:D,"Humanitarian",'MAIN DATASET'!B:B,'AGGREGATES by group'!B8)/1000000000</f>
        <v>0</v>
      </c>
      <c r="E8" s="388">
        <f>SUMIFS('MAIN DATASET'!R:R,'MAIN DATASET'!D:D,"Military",'MAIN DATASET'!B:B,'AGGREGATES by group'!B8)/1000000000</f>
        <v>0</v>
      </c>
      <c r="F8" s="389">
        <f t="shared" si="1"/>
        <v>2.0024999999999999</v>
      </c>
      <c r="H8" s="355"/>
      <c r="I8" s="358"/>
      <c r="J8" s="363"/>
      <c r="K8" s="358"/>
      <c r="L8" s="358"/>
      <c r="M8" s="358"/>
      <c r="N8" s="358"/>
      <c r="O8" s="358"/>
    </row>
    <row r="9" spans="1:15">
      <c r="B9" s="387" t="s">
        <v>2015</v>
      </c>
      <c r="C9" s="388">
        <f>SUMIFS('MAIN DATASET'!R:R,'MAIN DATASET'!D:D,"Financial",'MAIN DATASET'!B:B,'AGGREGATES by group'!B9)/1000000000</f>
        <v>10.32</v>
      </c>
      <c r="D9" s="388">
        <f>SUMIFS('MAIN DATASET'!R:R,'MAIN DATASET'!D:D,"Humanitarian",'MAIN DATASET'!B:B,'AGGREGATES by group'!B9)/1000000000</f>
        <v>1.42</v>
      </c>
      <c r="E9" s="388">
        <f>SUMIFS('MAIN DATASET'!R:R,'MAIN DATASET'!D:D,"Military",'MAIN DATASET'!B:B,'AGGREGATES by group'!B9)/1000000000</f>
        <v>0</v>
      </c>
      <c r="F9" s="389">
        <f t="shared" si="1"/>
        <v>11.74</v>
      </c>
      <c r="I9" s="358"/>
      <c r="J9" s="363"/>
      <c r="K9" s="358"/>
      <c r="L9" s="358"/>
      <c r="M9" s="358"/>
      <c r="N9" s="358"/>
      <c r="O9" s="358"/>
    </row>
    <row r="12" spans="1:15">
      <c r="B12" s="384" t="s">
        <v>2181</v>
      </c>
      <c r="C12" s="385">
        <f t="shared" ref="C12:H12" si="2">SUM(C13:C17)</f>
        <v>13.466222775785836</v>
      </c>
      <c r="D12" s="385">
        <f t="shared" si="2"/>
        <v>9.5567084912923423</v>
      </c>
      <c r="E12" s="385">
        <f t="shared" si="2"/>
        <v>28.668342427637931</v>
      </c>
      <c r="F12" s="385">
        <f t="shared" si="2"/>
        <v>51.691273694716109</v>
      </c>
      <c r="G12" s="390">
        <f t="shared" si="2"/>
        <v>25470.449327691302</v>
      </c>
      <c r="H12" s="391">
        <f t="shared" si="2"/>
        <v>0.64683850930097853</v>
      </c>
    </row>
    <row r="13" spans="1:15">
      <c r="B13" s="387" t="s">
        <v>1837</v>
      </c>
      <c r="C13" s="392">
        <f>SUMIFS('MAIN DATASET'!R:R,'MAIN DATASET'!D:D,"Financial",'MAIN DATASET'!B:B,'AGGREGATES by group'!B13)/1000000000</f>
        <v>9.9488636363636367</v>
      </c>
      <c r="D13" s="392">
        <f>SUMIFS('MAIN DATASET'!R:R,'MAIN DATASET'!D:D,"Humanitarian",'MAIN DATASET'!B:B,'AGGREGATES by group'!B13)/1000000000</f>
        <v>8.8836174242424235</v>
      </c>
      <c r="E13" s="392">
        <f>SUMIFS('MAIN DATASET'!R:R,'MAIN DATASET'!D:D,"Military",'MAIN DATASET'!B:B,'AGGREGATES by group'!B13)/1000000000</f>
        <v>23.782060057969691</v>
      </c>
      <c r="F13" s="392">
        <f>SUM(C13:E13)</f>
        <v>42.614541118575751</v>
      </c>
      <c r="G13" s="383">
        <f>VLOOKUP(B13,'AGGREGATES by country'!B:I,8,0)/1000000000</f>
        <v>19841.884469696968</v>
      </c>
      <c r="H13" s="360">
        <f>F13/G13*100</f>
        <v>0.21477063422911147</v>
      </c>
    </row>
    <row r="14" spans="1:15">
      <c r="B14" s="387" t="s">
        <v>1741</v>
      </c>
      <c r="C14" s="392">
        <f>SUMIFS('MAIN DATASET'!R:R,'MAIN DATASET'!D:D,"Financial",'MAIN DATASET'!B:B,'AGGREGATES by group'!B14)/1000000000</f>
        <v>2.0766498671650888</v>
      </c>
      <c r="D14" s="392">
        <f>SUMIFS('MAIN DATASET'!R:R,'MAIN DATASET'!D:D,"Humanitarian",'MAIN DATASET'!B:B,'AGGREGATES by group'!B14)/1000000000</f>
        <v>0.37296906687801584</v>
      </c>
      <c r="E14" s="392">
        <f>SUMIFS('MAIN DATASET'!R:R,'MAIN DATASET'!D:D,"Military",'MAIN DATASET'!B:B,'AGGREGATES by group'!B14)/1000000000</f>
        <v>3.7678026456566056</v>
      </c>
      <c r="F14" s="392">
        <f t="shared" ref="F14:F17" si="3">SUM(C14:E14)</f>
        <v>6.2174215796997103</v>
      </c>
      <c r="G14" s="383">
        <f>VLOOKUP(B14,'AGGREGATES by country'!B:I,8,0)/1000000000</f>
        <v>2613.4508143939393</v>
      </c>
      <c r="H14" s="360">
        <f>F14/G14*100</f>
        <v>0.23790084532895767</v>
      </c>
    </row>
    <row r="15" spans="1:15">
      <c r="B15" s="387" t="s">
        <v>350</v>
      </c>
      <c r="C15" s="392">
        <f>SUMIFS('MAIN DATASET'!R:R,'MAIN DATASET'!D:D,"Financial",'MAIN DATASET'!B:B,'AGGREGATES by group'!B15)/1000000000</f>
        <v>1.4407092722571113</v>
      </c>
      <c r="D15" s="392">
        <f>SUMIFS('MAIN DATASET'!R:R,'MAIN DATASET'!D:D,"Humanitarian",'MAIN DATASET'!B:B,'AGGREGATES by group'!B15)/1000000000</f>
        <v>0.25024011821204289</v>
      </c>
      <c r="E15" s="392">
        <f>SUMIFS('MAIN DATASET'!R:R,'MAIN DATASET'!D:D,"Military",'MAIN DATASET'!B:B,'AGGREGATES by group'!B15)/1000000000</f>
        <v>0.91932362269517998</v>
      </c>
      <c r="F15" s="392">
        <f t="shared" si="3"/>
        <v>2.6102730131643339</v>
      </c>
      <c r="G15" s="383">
        <f>VLOOKUP(B15,'AGGREGATES by country'!B:I,8,0)/1000000000</f>
        <v>1558.1661079545454</v>
      </c>
      <c r="H15" s="360">
        <f>F15/G15*100</f>
        <v>0.16752212744448172</v>
      </c>
    </row>
    <row r="16" spans="1:15">
      <c r="B16" s="387" t="s">
        <v>189</v>
      </c>
      <c r="C16" s="392">
        <f>SUMIFS('MAIN DATASET'!R:R,'MAIN DATASET'!D:D,"Financial",'MAIN DATASET'!B:B,'AGGREGATES by group'!B16)/1000000000</f>
        <v>0</v>
      </c>
      <c r="D16" s="392">
        <f>SUMIFS('MAIN DATASET'!R:R,'MAIN DATASET'!D:D,"Humanitarian",'MAIN DATASET'!B:B,'AGGREGATES by group'!B16)/1000000000</f>
        <v>4.7479912344777213E-2</v>
      </c>
      <c r="E16" s="392">
        <f>SUMIFS('MAIN DATASET'!R:R,'MAIN DATASET'!D:D,"Military",'MAIN DATASET'!B:B,'AGGREGATES by group'!B16)/1000000000</f>
        <v>0.18533767182415831</v>
      </c>
      <c r="F16" s="392">
        <f t="shared" si="3"/>
        <v>0.23281758416893553</v>
      </c>
      <c r="G16" s="383">
        <f>VLOOKUP(B16,'AGGREGATES by country'!B:I,8,0)/1000000000</f>
        <v>1257.4206165421497</v>
      </c>
      <c r="H16" s="360">
        <f>F16/G16*100</f>
        <v>1.8515489654462119E-2</v>
      </c>
    </row>
    <row r="17" spans="2:15">
      <c r="B17" s="387" t="s">
        <v>1273</v>
      </c>
      <c r="C17" s="392">
        <f>SUMIFS('MAIN DATASET'!R:R,'MAIN DATASET'!D:D,"Financial",'MAIN DATASET'!B:B,'AGGREGATES by group'!B17)/1000000000</f>
        <v>0</v>
      </c>
      <c r="D17" s="392">
        <f>SUMIFS('MAIN DATASET'!R:R,'MAIN DATASET'!D:D,"Humanitarian",'MAIN DATASET'!B:B,'AGGREGATES by group'!B17)/1000000000</f>
        <v>2.4019696150843692E-3</v>
      </c>
      <c r="E17" s="392">
        <f>SUMIFS('MAIN DATASET'!R:R,'MAIN DATASET'!D:D,"Military",'MAIN DATASET'!B:B,'AGGREGATES by group'!B17)/1000000000</f>
        <v>1.3818429492297321E-2</v>
      </c>
      <c r="F17" s="392">
        <f t="shared" si="3"/>
        <v>1.622039910738169E-2</v>
      </c>
      <c r="G17" s="383">
        <f>VLOOKUP(B17,'AGGREGATES by country'!B:I,8,0)/1000000000</f>
        <v>199.5273191037017</v>
      </c>
      <c r="H17" s="360">
        <f>F17/G17*100</f>
        <v>8.1294126439654876E-3</v>
      </c>
    </row>
    <row r="18" spans="2:15">
      <c r="H18" s="355"/>
    </row>
    <row r="19" spans="2:15">
      <c r="H19" s="355"/>
      <c r="I19" s="358"/>
      <c r="J19" s="363"/>
      <c r="K19" s="358"/>
      <c r="L19" s="358"/>
      <c r="M19" s="358"/>
      <c r="N19" s="358"/>
      <c r="O19" s="358"/>
    </row>
    <row r="20" spans="2:15">
      <c r="B20" s="384" t="s">
        <v>2182</v>
      </c>
      <c r="C20" s="385">
        <f>SUM(C21:C28)</f>
        <v>0.6021620708007247</v>
      </c>
      <c r="D20" s="385">
        <f t="shared" ref="D20:H20" si="4">SUM(D21:D28)</f>
        <v>0.24743489845056466</v>
      </c>
      <c r="E20" s="385">
        <f t="shared" si="4"/>
        <v>0.4970746312397894</v>
      </c>
      <c r="F20" s="385">
        <f t="shared" si="4"/>
        <v>1.3466716004910786</v>
      </c>
      <c r="G20" s="385">
        <f t="shared" si="4"/>
        <v>25118.56050700623</v>
      </c>
      <c r="H20" s="385">
        <f t="shared" si="4"/>
        <v>0.19121008348190041</v>
      </c>
      <c r="I20" s="358"/>
      <c r="J20" s="363"/>
      <c r="K20" s="358"/>
      <c r="L20" s="358"/>
      <c r="M20" s="358"/>
      <c r="N20" s="358"/>
      <c r="O20" s="358"/>
    </row>
    <row r="21" spans="2:15">
      <c r="B21" s="387" t="s">
        <v>456</v>
      </c>
      <c r="C21" s="392">
        <f>SUMIFS('MAIN DATASET'!R:R,'MAIN DATASET'!D:D,"Financial",'MAIN DATASET'!B:B,'AGGREGATES by group'!B21)/1000000000</f>
        <v>0</v>
      </c>
      <c r="D21" s="392">
        <f>SUMIFS('MAIN DATASET'!R:R,'MAIN DATASET'!D:D,"Humanitarian",'MAIN DATASET'!B:B,'AGGREGATES by group'!B21)/1000000000</f>
        <v>2.1217307665106011E-3</v>
      </c>
      <c r="E21" s="392">
        <f>SUMIFS('MAIN DATASET'!R:R,'MAIN DATASET'!D:D,"Military",'MAIN DATASET'!B:B,'AGGREGATES by group'!B21)/1000000000</f>
        <v>0</v>
      </c>
      <c r="F21" s="392">
        <f t="shared" ref="F21:F28" si="5">SUM(C21:E21)</f>
        <v>2.1217307665106011E-3</v>
      </c>
      <c r="G21" s="383">
        <f>VLOOKUP(B21,'AGGREGATES by country'!B:I,8,0)/1000000000</f>
        <v>13941.979827547348</v>
      </c>
      <c r="H21" s="360">
        <f t="shared" ref="H21:H28" si="6">F21/G21*100</f>
        <v>1.5218288885473542E-5</v>
      </c>
      <c r="I21" s="358"/>
      <c r="J21" s="363"/>
      <c r="K21" s="358"/>
      <c r="L21" s="358"/>
      <c r="M21" s="358"/>
      <c r="N21" s="358"/>
      <c r="O21" s="358"/>
    </row>
    <row r="22" spans="2:15">
      <c r="B22" s="387" t="s">
        <v>1080</v>
      </c>
      <c r="C22" s="392">
        <f>SUMIFS('MAIN DATASET'!R:R,'MAIN DATASET'!D:D,"Financial",'MAIN DATASET'!B:B,'AGGREGATES by group'!B22)/1000000000</f>
        <v>0.56818181818181812</v>
      </c>
      <c r="D22" s="392">
        <f>SUMIFS('MAIN DATASET'!R:R,'MAIN DATASET'!D:D,"Humanitarian",'MAIN DATASET'!B:B,'AGGREGATES by group'!B22)/1000000000</f>
        <v>9.8446969696969686E-2</v>
      </c>
      <c r="E22" s="392">
        <f>SUMIFS('MAIN DATASET'!R:R,'MAIN DATASET'!D:D,"Military",'MAIN DATASET'!B:B,'AGGREGATES by group'!B22)/1000000000</f>
        <v>0</v>
      </c>
      <c r="F22" s="392">
        <f t="shared" si="5"/>
        <v>0.66662878787878777</v>
      </c>
      <c r="G22" s="383">
        <f>VLOOKUP(B22,'AGGREGATES by country'!B:I,8,0)/1000000000</f>
        <v>4789.5444696969698</v>
      </c>
      <c r="H22" s="360">
        <f t="shared" si="6"/>
        <v>1.3918417337942888E-2</v>
      </c>
      <c r="I22" s="358"/>
      <c r="J22" s="363"/>
      <c r="K22" s="358"/>
      <c r="L22" s="358"/>
      <c r="M22" s="358"/>
      <c r="N22" s="358"/>
      <c r="O22" s="358"/>
    </row>
    <row r="23" spans="2:15">
      <c r="B23" s="387" t="s">
        <v>1306</v>
      </c>
      <c r="C23" s="392">
        <f>SUMIFS('MAIN DATASET'!R:R,'MAIN DATASET'!D:D,"Financial",'MAIN DATASET'!B:B,'AGGREGATES by group'!B23)/1000000000</f>
        <v>3.3980252618906609E-2</v>
      </c>
      <c r="D23" s="392">
        <f>SUMIFS('MAIN DATASET'!R:R,'MAIN DATASET'!D:D,"Humanitarian",'MAIN DATASET'!B:B,'AGGREGATES by group'!B23)/1000000000</f>
        <v>3.543654915971689E-2</v>
      </c>
      <c r="E23" s="392">
        <f>SUMIFS('MAIN DATASET'!R:R,'MAIN DATASET'!D:D,"Military",'MAIN DATASET'!B:B,'AGGREGATES by group'!B23)/1000000000</f>
        <v>0.49368447972463786</v>
      </c>
      <c r="F23" s="392">
        <f t="shared" si="5"/>
        <v>0.56310128150326133</v>
      </c>
      <c r="G23" s="383">
        <f>VLOOKUP(B23,'AGGREGATES by country'!B:I,8,0)/1000000000</f>
        <v>342.99083185157195</v>
      </c>
      <c r="H23" s="360">
        <f t="shared" si="6"/>
        <v>0.16417385807762389</v>
      </c>
      <c r="I23" s="358"/>
      <c r="J23" s="363"/>
      <c r="K23" s="358"/>
      <c r="L23" s="358"/>
      <c r="M23" s="358"/>
      <c r="N23" s="358"/>
      <c r="O23" s="358"/>
    </row>
    <row r="24" spans="2:15">
      <c r="B24" s="387" t="s">
        <v>1449</v>
      </c>
      <c r="C24" s="392">
        <f>SUMIFS('MAIN DATASET'!R:R,'MAIN DATASET'!D:D,"Financial",'MAIN DATASET'!B:B,'AGGREGATES by group'!B24)/1000000000</f>
        <v>0</v>
      </c>
      <c r="D24" s="392">
        <f>SUMIFS('MAIN DATASET'!R:R,'MAIN DATASET'!D:D,"Humanitarian",'MAIN DATASET'!B:B,'AGGREGATES by group'!B24)/1000000000</f>
        <v>3.901515151515151E-2</v>
      </c>
      <c r="E24" s="392">
        <f>SUMIFS('MAIN DATASET'!R:R,'MAIN DATASET'!D:D,"Military",'MAIN DATASET'!B:B,'AGGREGATES by group'!B24)/1000000000</f>
        <v>3.3901515151515149E-3</v>
      </c>
      <c r="F24" s="392">
        <f t="shared" si="5"/>
        <v>4.2405303030303022E-2</v>
      </c>
      <c r="G24" s="383">
        <f>VLOOKUP(B24,'AGGREGATES by country'!B:I,8,0)/1000000000</f>
        <v>1551.0376920387309</v>
      </c>
      <c r="H24" s="360">
        <f t="shared" si="6"/>
        <v>2.7339956500066873E-3</v>
      </c>
      <c r="I24" s="358"/>
      <c r="J24" s="363"/>
      <c r="K24" s="358"/>
      <c r="L24" s="358"/>
      <c r="M24" s="358"/>
      <c r="N24" s="358"/>
      <c r="O24" s="358"/>
    </row>
    <row r="25" spans="2:15">
      <c r="B25" s="387" t="s">
        <v>1694</v>
      </c>
      <c r="C25" s="392">
        <f>SUMIFS('MAIN DATASET'!R:R,'MAIN DATASET'!D:D,"Financial",'MAIN DATASET'!B:B,'AGGREGATES by group'!B25)/1000000000</f>
        <v>0</v>
      </c>
      <c r="D25" s="392">
        <f>SUMIFS('MAIN DATASET'!R:R,'MAIN DATASET'!D:D,"Humanitarian",'MAIN DATASET'!B:B,'AGGREGATES by group'!B25)/1000000000</f>
        <v>5.8622374206155348E-2</v>
      </c>
      <c r="E25" s="392">
        <f>SUMIFS('MAIN DATASET'!R:R,'MAIN DATASET'!D:D,"Military",'MAIN DATASET'!B:B,'AGGREGATES by group'!B25)/1000000000</f>
        <v>0</v>
      </c>
      <c r="F25" s="392">
        <f t="shared" si="5"/>
        <v>5.8622374206155348E-2</v>
      </c>
      <c r="G25" s="383">
        <f>VLOOKUP(B25,'AGGREGATES by country'!B:I,8,0)/1000000000</f>
        <v>712.35610391108901</v>
      </c>
      <c r="H25" s="360">
        <f t="shared" si="6"/>
        <v>8.2293636405019362E-3</v>
      </c>
      <c r="I25" s="358"/>
      <c r="J25" s="363"/>
      <c r="K25" s="358"/>
      <c r="L25" s="358"/>
      <c r="M25" s="358"/>
      <c r="N25" s="358"/>
      <c r="O25" s="358"/>
    </row>
    <row r="26" spans="2:15">
      <c r="B26" s="387" t="s">
        <v>1721</v>
      </c>
      <c r="C26" s="392">
        <f>SUMIFS('MAIN DATASET'!R:R,'MAIN DATASET'!D:D,"Financial",'MAIN DATASET'!B:B,'AGGREGATES by group'!B26)/1000000000</f>
        <v>0</v>
      </c>
      <c r="D26" s="392">
        <f>SUMIFS('MAIN DATASET'!R:R,'MAIN DATASET'!D:D,"Humanitarian",'MAIN DATASET'!B:B,'AGGREGATES by group'!B26)/1000000000</f>
        <v>1.1837121212121207E-2</v>
      </c>
      <c r="E26" s="392">
        <f>SUMIFS('MAIN DATASET'!R:R,'MAIN DATASET'!D:D,"Military",'MAIN DATASET'!B:B,'AGGREGATES by group'!B26)/1000000000</f>
        <v>0</v>
      </c>
      <c r="F26" s="392">
        <f t="shared" si="5"/>
        <v>1.1837121212121207E-2</v>
      </c>
      <c r="G26" s="383">
        <f>VLOOKUP(B26,'AGGREGATES by country'!B:I,8,0)/1000000000</f>
        <v>579.70454545454538</v>
      </c>
      <c r="H26" s="360">
        <f t="shared" si="6"/>
        <v>2.0419231322120718E-3</v>
      </c>
      <c r="I26" s="358"/>
      <c r="J26" s="363"/>
      <c r="K26" s="358"/>
      <c r="L26" s="358"/>
      <c r="M26" s="358"/>
      <c r="N26" s="358"/>
      <c r="O26" s="358"/>
    </row>
    <row r="27" spans="2:15">
      <c r="B27" s="387" t="s">
        <v>1702</v>
      </c>
      <c r="C27" s="392">
        <f>SUMIFS('MAIN DATASET'!R:R,'MAIN DATASET'!D:D,"Financial",'MAIN DATASET'!B:B,'AGGREGATES by group'!B27)/1000000000</f>
        <v>0</v>
      </c>
      <c r="D27" s="392">
        <f>SUMIFS('MAIN DATASET'!R:R,'MAIN DATASET'!D:D,"Humanitarian",'MAIN DATASET'!B:B,'AGGREGATES by group'!B27)/1000000000</f>
        <v>1.8416856060606061E-4</v>
      </c>
      <c r="E27" s="392">
        <f>SUMIFS('MAIN DATASET'!R:R,'MAIN DATASET'!D:D,"Military",'MAIN DATASET'!B:B,'AGGREGATES by group'!B27)/1000000000</f>
        <v>0</v>
      </c>
      <c r="F27" s="392">
        <f t="shared" si="5"/>
        <v>1.8416856060606061E-4</v>
      </c>
      <c r="G27" s="383">
        <f>VLOOKUP(B27,'AGGREGATES by country'!B:I,8,0)/1000000000</f>
        <v>681.77539932131629</v>
      </c>
      <c r="H27" s="360">
        <f t="shared" si="6"/>
        <v>2.70130838967487E-5</v>
      </c>
      <c r="I27" s="358"/>
      <c r="J27" s="363"/>
      <c r="K27" s="358"/>
      <c r="L27" s="358"/>
      <c r="M27" s="358"/>
      <c r="N27" s="358"/>
      <c r="O27" s="358"/>
    </row>
    <row r="28" spans="2:15">
      <c r="B28" s="387" t="s">
        <v>998</v>
      </c>
      <c r="C28" s="392">
        <f>SUMIFS('MAIN DATASET'!R:R,'MAIN DATASET'!D:D,"Financial",'MAIN DATASET'!B:B,'AGGREGATES by group'!B28)/1000000000</f>
        <v>0</v>
      </c>
      <c r="D28" s="392">
        <f>SUMIFS('MAIN DATASET'!R:R,'MAIN DATASET'!D:D,"Humanitarian",'MAIN DATASET'!B:B,'AGGREGATES by group'!B28)/1000000000</f>
        <v>1.7708333333333332E-3</v>
      </c>
      <c r="E28" s="392">
        <f>SUMIFS('MAIN DATASET'!R:R,'MAIN DATASET'!D:D,"Military",'MAIN DATASET'!B:B,'AGGREGATES by group'!B28)/1000000000</f>
        <v>0</v>
      </c>
      <c r="F28" s="392">
        <f t="shared" si="5"/>
        <v>1.7708333333333332E-3</v>
      </c>
      <c r="G28" s="383">
        <f>VLOOKUP(B28,'AGGREGATES by country'!B:I,8,0)/1000000000</f>
        <v>2519.1716371846592</v>
      </c>
      <c r="H28" s="360">
        <f t="shared" si="6"/>
        <v>7.029427083072261E-5</v>
      </c>
      <c r="I28" s="358"/>
      <c r="J28" s="363"/>
      <c r="K28" s="358"/>
      <c r="L28" s="358"/>
      <c r="M28" s="358"/>
      <c r="N28" s="358"/>
      <c r="O28" s="358"/>
    </row>
    <row r="29" spans="2:15">
      <c r="I29" s="358"/>
      <c r="J29" s="363"/>
      <c r="K29" s="358"/>
      <c r="L29" s="358"/>
      <c r="M29" s="358"/>
      <c r="N29" s="358"/>
      <c r="O29" s="358"/>
    </row>
    <row r="30" spans="2:15">
      <c r="B30" s="384" t="s">
        <v>2183</v>
      </c>
      <c r="C30" s="385">
        <f>SUM(C31:C35)</f>
        <v>6.2984843587332504</v>
      </c>
      <c r="D30" s="385">
        <f t="shared" ref="D30:F30" si="7">SUM(D31:D35)</f>
        <v>0</v>
      </c>
      <c r="E30" s="385">
        <f t="shared" si="7"/>
        <v>0</v>
      </c>
      <c r="F30" s="385">
        <f t="shared" si="7"/>
        <v>6.2984843587332504</v>
      </c>
      <c r="I30" s="358"/>
      <c r="J30" s="363"/>
      <c r="K30" s="358"/>
      <c r="L30" s="358"/>
      <c r="M30" s="358"/>
      <c r="N30" s="358"/>
      <c r="O30" s="358"/>
    </row>
    <row r="31" spans="2:15">
      <c r="B31" s="387" t="s">
        <v>2084</v>
      </c>
      <c r="C31" s="388">
        <f>SUMIFS('Non-Bilateral Aid'!S:S,'Non-Bilateral Aid'!B:B,'AGGREGATES by group'!B31,'Non-Bilateral Aid'!D:D,"Financial")/1000000000</f>
        <v>2.0645828435817353</v>
      </c>
      <c r="D31" s="388">
        <f>SUMIFS('Non-Bilateral Aid'!S:S,'Non-Bilateral Aid'!B:B,'AGGREGATES by group'!B31,'Non-Bilateral Aid'!D:D,"Humanitarian")/1000000000</f>
        <v>0</v>
      </c>
      <c r="E31" s="388">
        <f>SUMIFS('Non-Bilateral Aid'!S:S,'Non-Bilateral Aid'!B:B,'AGGREGATES by group'!B31,'Non-Bilateral Aid'!D:D,"Military")/1000000000</f>
        <v>0</v>
      </c>
      <c r="F31" s="393">
        <f>SUM(C31:E31)</f>
        <v>2.0645828435817353</v>
      </c>
      <c r="I31" s="358"/>
      <c r="J31" s="363"/>
      <c r="K31" s="358"/>
      <c r="L31" s="358"/>
      <c r="M31" s="358"/>
      <c r="N31" s="358"/>
      <c r="O31" s="358"/>
    </row>
    <row r="32" spans="2:15">
      <c r="B32" s="387" t="s">
        <v>2077</v>
      </c>
      <c r="C32" s="388">
        <f>SUMIFS('Non-Bilateral Aid'!S:S,'Non-Bilateral Aid'!B:B,'AGGREGATES by group'!B32,'Non-Bilateral Aid'!D:D,"Financial")/1000000000</f>
        <v>1.8939393939393938</v>
      </c>
      <c r="D32" s="388">
        <f>SUMIFS('Non-Bilateral Aid'!S:S,'Non-Bilateral Aid'!B:B,'AGGREGATES by group'!B32,'Non-Bilateral Aid'!D:D,"Humanitarian")/1000000000</f>
        <v>0</v>
      </c>
      <c r="E32" s="388">
        <f>SUMIFS('Non-Bilateral Aid'!S:S,'Non-Bilateral Aid'!B:B,'AGGREGATES by group'!B32,'Non-Bilateral Aid'!D:D,"Military")/1000000000</f>
        <v>0</v>
      </c>
      <c r="F32" s="393">
        <f t="shared" ref="F32:F35" si="8">SUM(C32:E32)</f>
        <v>1.8939393939393938</v>
      </c>
      <c r="I32" s="358"/>
      <c r="J32" s="363"/>
      <c r="K32" s="358"/>
      <c r="L32" s="358"/>
      <c r="M32" s="358"/>
      <c r="N32" s="358"/>
      <c r="O32" s="358"/>
    </row>
    <row r="33" spans="2:15">
      <c r="B33" s="387" t="s">
        <v>2096</v>
      </c>
      <c r="C33" s="388">
        <f>SUMIFS('Non-Bilateral Aid'!S:S,'Non-Bilateral Aid'!B:B,'AGGREGATES by group'!B33,'Non-Bilateral Aid'!D:D,"Financial")/1000000000</f>
        <v>0</v>
      </c>
      <c r="D33" s="388">
        <f>SUMIFS('Non-Bilateral Aid'!S:S,'Non-Bilateral Aid'!B:B,'AGGREGATES by group'!B33,'Non-Bilateral Aid'!D:D,"Humanitarian")/1000000000</f>
        <v>0</v>
      </c>
      <c r="E33" s="388">
        <f>SUMIFS('Non-Bilateral Aid'!S:S,'Non-Bilateral Aid'!B:B,'AGGREGATES by group'!B33,'Non-Bilateral Aid'!D:D,"Military")/1000000000</f>
        <v>0</v>
      </c>
      <c r="F33" s="393">
        <f t="shared" si="8"/>
        <v>0</v>
      </c>
      <c r="I33" s="358"/>
      <c r="J33" s="363"/>
      <c r="K33" s="358"/>
      <c r="L33" s="358"/>
      <c r="M33" s="358"/>
      <c r="N33" s="358"/>
      <c r="O33" s="358"/>
    </row>
    <row r="34" spans="2:15">
      <c r="B34" s="387" t="s">
        <v>2102</v>
      </c>
      <c r="C34" s="388">
        <f>SUMIFS('Non-Bilateral Aid'!S:S,'Non-Bilateral Aid'!B:B,'AGGREGATES by group'!B34,'Non-Bilateral Aid'!D:D,"Financial")/1000000000</f>
        <v>5.4924242424242424E-2</v>
      </c>
      <c r="D34" s="388">
        <f>SUMIFS('Non-Bilateral Aid'!S:S,'Non-Bilateral Aid'!B:B,'AGGREGATES by group'!B34,'Non-Bilateral Aid'!D:D,"Humanitarian")/1000000000</f>
        <v>0</v>
      </c>
      <c r="E34" s="388">
        <f>SUMIFS('Non-Bilateral Aid'!S:S,'Non-Bilateral Aid'!B:B,'AGGREGATES by group'!B34,'Non-Bilateral Aid'!D:D,"Military")/1000000000</f>
        <v>0</v>
      </c>
      <c r="F34" s="393">
        <f t="shared" si="8"/>
        <v>5.4924242424242424E-2</v>
      </c>
      <c r="I34" s="358"/>
      <c r="J34" s="363"/>
      <c r="K34" s="358"/>
      <c r="L34" s="358"/>
      <c r="M34" s="358"/>
      <c r="N34" s="358"/>
      <c r="O34" s="358"/>
    </row>
    <row r="35" spans="2:15">
      <c r="B35" s="387" t="s">
        <v>2112</v>
      </c>
      <c r="C35" s="388">
        <f>SUMIFS('Non-Bilateral Aid'!S:S,'Non-Bilateral Aid'!B:B,'AGGREGATES by group'!B35,'Non-Bilateral Aid'!D:D,"Financial")/1000000000</f>
        <v>2.2850378787878789</v>
      </c>
      <c r="D35" s="388">
        <f>SUMIFS('Non-Bilateral Aid'!S:S,'Non-Bilateral Aid'!B:B,'AGGREGATES by group'!B35,'Non-Bilateral Aid'!D:D,"Humanitarian")/1000000000</f>
        <v>0</v>
      </c>
      <c r="E35" s="388">
        <f>SUMIFS('Non-Bilateral Aid'!S:S,'Non-Bilateral Aid'!B:B,'AGGREGATES by group'!B35,'Non-Bilateral Aid'!D:D,"Military")/1000000000</f>
        <v>0</v>
      </c>
      <c r="F35" s="393">
        <f t="shared" si="8"/>
        <v>2.2850378787878789</v>
      </c>
    </row>
    <row r="37" spans="2:15">
      <c r="C37" s="281"/>
      <c r="D37" s="281"/>
      <c r="E37" s="281"/>
      <c r="F37" s="281"/>
      <c r="I37" s="358"/>
      <c r="J37" s="358"/>
      <c r="K37" s="358"/>
      <c r="L37" s="358"/>
      <c r="M37" s="358"/>
      <c r="N37" s="358"/>
      <c r="O37" s="358"/>
    </row>
    <row r="38" spans="2:15">
      <c r="C38" s="281"/>
      <c r="D38" s="281"/>
      <c r="E38" s="281"/>
      <c r="F38" s="281"/>
      <c r="I38" s="358"/>
      <c r="J38" s="363"/>
      <c r="K38" s="358"/>
      <c r="L38" s="358"/>
      <c r="M38" s="358"/>
      <c r="N38" s="358"/>
      <c r="O38" s="358"/>
    </row>
    <row r="39" spans="2:15">
      <c r="I39" s="358"/>
      <c r="J39" s="363"/>
      <c r="K39" s="358"/>
      <c r="L39" s="358"/>
      <c r="M39" s="358"/>
      <c r="N39" s="358"/>
      <c r="O39" s="358"/>
    </row>
    <row r="40" spans="2:15">
      <c r="I40" s="358"/>
      <c r="J40" s="363"/>
      <c r="K40" s="358"/>
      <c r="L40" s="358"/>
      <c r="M40" s="358"/>
      <c r="N40" s="358"/>
      <c r="O40" s="358"/>
    </row>
    <row r="41" spans="2:15">
      <c r="I41" s="358"/>
      <c r="J41" s="363"/>
      <c r="K41" s="358"/>
      <c r="L41" s="358"/>
      <c r="M41" s="358"/>
      <c r="N41" s="358"/>
      <c r="O41" s="358"/>
    </row>
    <row r="42" spans="2:15">
      <c r="I42" s="358"/>
      <c r="J42" s="363"/>
      <c r="K42" s="358"/>
      <c r="L42" s="358"/>
      <c r="M42" s="358"/>
      <c r="N42" s="358"/>
      <c r="O42" s="358"/>
    </row>
    <row r="43" spans="2:15">
      <c r="I43" s="358"/>
      <c r="J43" s="363"/>
      <c r="K43" s="358"/>
      <c r="L43" s="358"/>
      <c r="M43" s="358"/>
      <c r="N43" s="358"/>
      <c r="O43" s="358"/>
    </row>
    <row r="44" spans="2:15">
      <c r="I44" s="358"/>
      <c r="J44" s="363"/>
      <c r="K44" s="358"/>
      <c r="L44" s="358"/>
      <c r="M44" s="358"/>
      <c r="N44" s="358"/>
      <c r="O44" s="358"/>
    </row>
    <row r="45" spans="2:15">
      <c r="I45" s="358"/>
      <c r="J45" s="363"/>
      <c r="K45" s="358"/>
      <c r="L45" s="358"/>
      <c r="M45" s="358"/>
      <c r="N45" s="358"/>
      <c r="O45" s="358"/>
    </row>
    <row r="46" spans="2:15">
      <c r="I46" s="358"/>
      <c r="J46" s="363"/>
      <c r="K46" s="358"/>
      <c r="L46" s="358"/>
      <c r="M46" s="358"/>
      <c r="N46" s="358"/>
      <c r="O46" s="358"/>
    </row>
    <row r="47" spans="2:15">
      <c r="I47" s="358"/>
      <c r="J47" s="363"/>
      <c r="K47" s="358"/>
      <c r="L47" s="358"/>
      <c r="M47" s="358"/>
      <c r="N47" s="358"/>
      <c r="O47" s="358"/>
    </row>
    <row r="48" spans="2:15">
      <c r="I48" s="358"/>
      <c r="J48" s="363"/>
      <c r="K48" s="358"/>
      <c r="L48" s="358"/>
      <c r="M48" s="358"/>
      <c r="N48" s="358"/>
      <c r="O48" s="358"/>
    </row>
    <row r="49" spans="9:15">
      <c r="I49" s="358"/>
      <c r="J49" s="363"/>
      <c r="K49" s="358"/>
      <c r="L49" s="358"/>
      <c r="M49" s="358"/>
      <c r="N49" s="358"/>
      <c r="O49" s="358"/>
    </row>
    <row r="50" spans="9:15">
      <c r="I50" s="358"/>
      <c r="J50" s="363"/>
      <c r="K50" s="358"/>
      <c r="L50" s="358"/>
      <c r="M50" s="358"/>
      <c r="N50" s="358"/>
      <c r="O50" s="358"/>
    </row>
    <row r="51" spans="9:15">
      <c r="I51" s="358"/>
      <c r="J51" s="363"/>
      <c r="K51" s="358"/>
      <c r="L51" s="358"/>
      <c r="M51" s="358"/>
      <c r="N51" s="358"/>
      <c r="O51" s="358"/>
    </row>
    <row r="52" spans="9:15">
      <c r="I52" s="358"/>
      <c r="J52" s="363"/>
      <c r="K52" s="358"/>
      <c r="L52" s="358"/>
      <c r="M52" s="358"/>
      <c r="N52" s="358"/>
      <c r="O52" s="358"/>
    </row>
    <row r="53" spans="9:15">
      <c r="I53" s="358"/>
      <c r="J53" s="363"/>
      <c r="K53" s="358"/>
      <c r="L53" s="358"/>
      <c r="M53" s="358"/>
      <c r="N53" s="358"/>
      <c r="O53" s="358"/>
    </row>
    <row r="54" spans="9:15">
      <c r="I54" s="358"/>
      <c r="J54" s="363"/>
      <c r="K54" s="358"/>
      <c r="L54" s="358"/>
      <c r="M54" s="358"/>
      <c r="N54" s="358"/>
      <c r="O54" s="358"/>
    </row>
    <row r="55" spans="9:15">
      <c r="I55" s="358"/>
      <c r="J55" s="363"/>
      <c r="K55" s="358"/>
      <c r="L55" s="358"/>
      <c r="M55" s="358"/>
      <c r="N55" s="358"/>
      <c r="O55" s="358"/>
    </row>
    <row r="56" spans="9:15">
      <c r="I56" s="358"/>
      <c r="J56" s="363"/>
      <c r="K56" s="358"/>
      <c r="L56" s="358"/>
      <c r="M56" s="358"/>
      <c r="N56" s="358"/>
      <c r="O56" s="358"/>
    </row>
    <row r="57" spans="9:15">
      <c r="I57" s="358"/>
      <c r="J57" s="363"/>
      <c r="K57" s="358"/>
      <c r="L57" s="358"/>
      <c r="M57" s="358"/>
      <c r="N57" s="358"/>
      <c r="O57" s="358"/>
    </row>
    <row r="58" spans="9:15">
      <c r="I58" s="358"/>
      <c r="J58" s="363"/>
      <c r="K58" s="358"/>
      <c r="L58" s="358"/>
      <c r="M58" s="358"/>
      <c r="N58" s="358"/>
      <c r="O58" s="358"/>
    </row>
    <row r="59" spans="9:15">
      <c r="I59" s="358"/>
      <c r="J59" s="363"/>
      <c r="K59" s="358"/>
      <c r="L59" s="358"/>
      <c r="M59" s="358"/>
      <c r="N59" s="358"/>
      <c r="O59" s="358"/>
    </row>
    <row r="60" spans="9:15">
      <c r="I60" s="358"/>
      <c r="J60" s="363"/>
      <c r="K60" s="358"/>
      <c r="L60" s="358"/>
      <c r="M60" s="358"/>
      <c r="N60" s="358"/>
      <c r="O60" s="358"/>
    </row>
    <row r="61" spans="9:15">
      <c r="I61" s="358"/>
      <c r="J61" s="363"/>
      <c r="K61" s="358"/>
      <c r="L61" s="358"/>
      <c r="M61" s="358"/>
      <c r="N61" s="358"/>
      <c r="O61" s="358"/>
    </row>
    <row r="62" spans="9:15">
      <c r="I62" s="358"/>
      <c r="J62" s="363"/>
      <c r="K62" s="358"/>
      <c r="L62" s="358"/>
      <c r="M62" s="358"/>
      <c r="N62" s="358"/>
      <c r="O62" s="358"/>
    </row>
    <row r="63" spans="9:15">
      <c r="I63" s="358"/>
      <c r="J63" s="363"/>
      <c r="K63" s="358"/>
      <c r="L63" s="358"/>
      <c r="M63" s="358"/>
      <c r="N63" s="358"/>
      <c r="O63" s="358"/>
    </row>
    <row r="64" spans="9:15">
      <c r="I64" s="358"/>
      <c r="J64" s="363"/>
      <c r="K64" s="358"/>
      <c r="L64" s="358"/>
      <c r="M64" s="358"/>
      <c r="N64" s="358"/>
      <c r="O64" s="358"/>
    </row>
    <row r="65" spans="9:15">
      <c r="I65" s="358"/>
      <c r="J65" s="363"/>
      <c r="K65" s="358"/>
      <c r="L65" s="358"/>
      <c r="M65" s="358"/>
      <c r="N65" s="358"/>
      <c r="O65" s="358"/>
    </row>
    <row r="66" spans="9:15">
      <c r="I66" s="358"/>
      <c r="J66" s="363"/>
      <c r="K66" s="358"/>
      <c r="L66" s="358"/>
      <c r="M66" s="358"/>
      <c r="N66" s="358"/>
      <c r="O66" s="358"/>
    </row>
    <row r="67" spans="9:15">
      <c r="I67" s="358"/>
      <c r="J67" s="363"/>
      <c r="K67" s="358"/>
      <c r="L67" s="358"/>
      <c r="M67" s="358"/>
      <c r="N67" s="358"/>
      <c r="O67" s="358"/>
    </row>
    <row r="68" spans="9:15">
      <c r="I68" s="358"/>
      <c r="J68" s="363"/>
      <c r="K68" s="358"/>
      <c r="L68" s="358"/>
      <c r="M68" s="358"/>
      <c r="N68" s="358"/>
      <c r="O68" s="358"/>
    </row>
    <row r="69" spans="9:15">
      <c r="I69" s="358"/>
      <c r="J69" s="363"/>
      <c r="K69" s="358"/>
      <c r="L69" s="358"/>
      <c r="M69" s="358"/>
      <c r="N69" s="358"/>
      <c r="O69" s="358"/>
    </row>
    <row r="70" spans="9:15">
      <c r="I70" s="358"/>
      <c r="J70" s="363"/>
      <c r="K70" s="358"/>
      <c r="L70" s="358"/>
      <c r="M70" s="358"/>
      <c r="N70" s="358"/>
      <c r="O70" s="358"/>
    </row>
    <row r="71" spans="9:15">
      <c r="I71" s="358"/>
      <c r="J71" s="363"/>
      <c r="K71" s="358"/>
      <c r="L71" s="358"/>
      <c r="M71" s="358"/>
      <c r="N71" s="358"/>
      <c r="O71" s="358"/>
    </row>
    <row r="72" spans="9:15">
      <c r="I72" s="358"/>
      <c r="J72" s="358"/>
      <c r="K72" s="358"/>
      <c r="L72" s="358"/>
      <c r="M72" s="358"/>
      <c r="N72" s="358"/>
      <c r="O72" s="358"/>
    </row>
    <row r="73" spans="9:15">
      <c r="I73" s="358"/>
      <c r="J73" s="365"/>
      <c r="K73" s="358"/>
      <c r="L73" s="358"/>
      <c r="M73" s="358"/>
      <c r="N73" s="358"/>
      <c r="O73" s="358"/>
    </row>
    <row r="74" spans="9:15">
      <c r="I74" s="358"/>
      <c r="J74" s="363"/>
      <c r="K74" s="358"/>
      <c r="L74" s="358"/>
      <c r="M74" s="358"/>
      <c r="N74" s="358"/>
      <c r="O74" s="358"/>
    </row>
    <row r="75" spans="9:15">
      <c r="I75" s="358"/>
      <c r="J75" s="363"/>
      <c r="K75" s="358"/>
      <c r="L75" s="358"/>
      <c r="M75" s="358"/>
      <c r="N75" s="358"/>
      <c r="O75" s="358"/>
    </row>
    <row r="76" spans="9:15">
      <c r="I76" s="358"/>
      <c r="J76" s="363"/>
      <c r="K76" s="358"/>
      <c r="L76" s="358"/>
      <c r="M76" s="358"/>
      <c r="N76" s="358"/>
      <c r="O76" s="358"/>
    </row>
    <row r="77" spans="9:15">
      <c r="I77" s="358"/>
      <c r="J77" s="363"/>
      <c r="K77" s="358"/>
      <c r="L77" s="358"/>
      <c r="M77" s="358"/>
      <c r="N77" s="358"/>
      <c r="O77" s="358"/>
    </row>
    <row r="78" spans="9:15">
      <c r="I78" s="358"/>
      <c r="J78" s="366"/>
      <c r="K78" s="358"/>
      <c r="L78" s="358"/>
      <c r="M78" s="358"/>
      <c r="N78" s="358"/>
      <c r="O78" s="358"/>
    </row>
    <row r="79" spans="9:15">
      <c r="I79" s="358"/>
      <c r="J79" s="363"/>
      <c r="K79" s="358"/>
      <c r="L79" s="358"/>
      <c r="M79" s="358"/>
      <c r="N79" s="358"/>
      <c r="O79" s="358"/>
    </row>
    <row r="80" spans="9:15">
      <c r="I80" s="358"/>
      <c r="J80" s="363"/>
      <c r="K80" s="358"/>
      <c r="L80" s="358"/>
      <c r="M80" s="358"/>
      <c r="N80" s="358"/>
      <c r="O80" s="358"/>
    </row>
    <row r="81" spans="9:15">
      <c r="I81" s="358"/>
      <c r="J81" s="363"/>
      <c r="K81" s="358"/>
      <c r="L81" s="358"/>
      <c r="M81" s="358"/>
      <c r="N81" s="358"/>
      <c r="O81" s="358"/>
    </row>
    <row r="82" spans="9:15">
      <c r="K82" s="358"/>
      <c r="L82" s="358"/>
      <c r="M82" s="358"/>
      <c r="N82" s="358"/>
      <c r="O82" s="358"/>
    </row>
    <row r="83" spans="9:15">
      <c r="I83" s="358"/>
      <c r="J83" s="358"/>
      <c r="K83" s="358"/>
      <c r="L83" s="358"/>
      <c r="M83" s="358"/>
      <c r="N83" s="358"/>
      <c r="O83" s="358"/>
    </row>
    <row r="84" spans="9:15">
      <c r="I84" s="358"/>
      <c r="J84" s="358"/>
      <c r="K84" s="358"/>
      <c r="L84" s="358"/>
      <c r="M84" s="358"/>
      <c r="N84" s="358"/>
      <c r="O84" s="358"/>
    </row>
    <row r="85" spans="9:15">
      <c r="I85" s="358"/>
      <c r="J85" s="358"/>
      <c r="K85" s="358"/>
      <c r="L85" s="358"/>
      <c r="M85" s="358"/>
      <c r="N85" s="358"/>
      <c r="O85" s="358"/>
    </row>
    <row r="86" spans="9:15">
      <c r="I86" s="358"/>
      <c r="J86" s="358"/>
      <c r="K86" s="358"/>
      <c r="L86" s="358"/>
      <c r="M86" s="358"/>
      <c r="N86" s="358"/>
      <c r="O86" s="358"/>
    </row>
    <row r="87" spans="9:15">
      <c r="I87" s="358"/>
      <c r="J87" s="358"/>
      <c r="K87" s="358"/>
      <c r="L87" s="358"/>
      <c r="M87" s="358"/>
      <c r="N87" s="358"/>
      <c r="O87" s="358"/>
    </row>
    <row r="88" spans="9:15">
      <c r="I88" s="358"/>
      <c r="J88" s="358"/>
      <c r="K88" s="358"/>
      <c r="L88" s="358"/>
      <c r="M88" s="358"/>
      <c r="N88" s="358"/>
      <c r="O88" s="358"/>
    </row>
    <row r="89" spans="9:15">
      <c r="I89" s="358"/>
      <c r="J89" s="358"/>
      <c r="K89" s="358"/>
      <c r="L89" s="358"/>
      <c r="M89" s="358"/>
      <c r="N89" s="358"/>
      <c r="O89" s="358"/>
    </row>
    <row r="90" spans="9:15">
      <c r="I90" s="358"/>
      <c r="J90" s="358"/>
      <c r="K90" s="358"/>
      <c r="L90" s="358"/>
      <c r="M90" s="358"/>
      <c r="N90" s="358"/>
      <c r="O90" s="358"/>
    </row>
    <row r="91" spans="9:15">
      <c r="I91" s="358"/>
      <c r="J91" s="358"/>
      <c r="K91" s="358"/>
      <c r="L91" s="358"/>
      <c r="M91" s="358"/>
      <c r="N91" s="358"/>
      <c r="O91" s="358"/>
    </row>
    <row r="92" spans="9:15">
      <c r="I92" s="358"/>
      <c r="J92" s="358"/>
      <c r="K92" s="358"/>
      <c r="L92" s="358"/>
      <c r="M92" s="358"/>
      <c r="N92" s="358"/>
      <c r="O92" s="358"/>
    </row>
    <row r="93" spans="9:15">
      <c r="I93" s="358"/>
      <c r="J93" s="358"/>
      <c r="K93" s="358"/>
      <c r="L93" s="358"/>
      <c r="M93" s="358"/>
      <c r="N93" s="358"/>
      <c r="O93" s="358"/>
    </row>
    <row r="94" spans="9:15">
      <c r="I94" s="358"/>
      <c r="J94" s="358"/>
      <c r="K94" s="358"/>
      <c r="L94" s="358"/>
      <c r="M94" s="358"/>
      <c r="N94" s="358"/>
      <c r="O94" s="358"/>
    </row>
    <row r="95" spans="9:15">
      <c r="I95" s="358"/>
      <c r="J95" s="358"/>
      <c r="K95" s="358"/>
      <c r="L95" s="358"/>
      <c r="M95" s="358"/>
      <c r="N95" s="358"/>
      <c r="O95" s="358"/>
    </row>
    <row r="96" spans="9:15">
      <c r="I96" s="358"/>
      <c r="J96" s="358"/>
      <c r="K96" s="358"/>
      <c r="L96" s="358"/>
      <c r="M96" s="358"/>
      <c r="N96" s="358"/>
      <c r="O96" s="358"/>
    </row>
    <row r="97" spans="9:15">
      <c r="I97" s="358"/>
      <c r="J97" s="358"/>
      <c r="K97" s="358"/>
      <c r="L97" s="358"/>
      <c r="M97" s="358"/>
      <c r="N97" s="358"/>
      <c r="O97" s="358"/>
    </row>
    <row r="98" spans="9:15">
      <c r="I98" s="358"/>
      <c r="J98" s="358"/>
      <c r="K98" s="358"/>
      <c r="L98" s="358"/>
      <c r="M98" s="358"/>
      <c r="N98" s="358"/>
      <c r="O98" s="358"/>
    </row>
    <row r="99" spans="9:15">
      <c r="I99" s="358"/>
      <c r="J99" s="358"/>
      <c r="K99" s="358"/>
      <c r="L99" s="358"/>
      <c r="M99" s="358"/>
      <c r="N99" s="358"/>
      <c r="O99" s="358"/>
    </row>
    <row r="100" spans="9:15">
      <c r="I100" s="358"/>
      <c r="J100" s="358"/>
      <c r="K100" s="358"/>
      <c r="L100" s="358"/>
      <c r="M100" s="358"/>
      <c r="N100" s="358"/>
      <c r="O100" s="358"/>
    </row>
    <row r="101" spans="9:15">
      <c r="I101" s="358"/>
      <c r="J101" s="358"/>
      <c r="K101" s="358"/>
      <c r="L101" s="358"/>
      <c r="M101" s="358"/>
      <c r="N101" s="358"/>
      <c r="O101" s="358"/>
    </row>
    <row r="102" spans="9:15">
      <c r="I102" s="358"/>
      <c r="J102" s="358"/>
      <c r="K102" s="358"/>
      <c r="L102" s="358"/>
      <c r="M102" s="358"/>
      <c r="N102" s="358"/>
      <c r="O102" s="358"/>
    </row>
    <row r="103" spans="9:15">
      <c r="I103" s="358"/>
      <c r="J103" s="358"/>
      <c r="K103" s="358"/>
      <c r="L103" s="358"/>
      <c r="M103" s="358"/>
      <c r="N103" s="358"/>
      <c r="O103" s="358"/>
    </row>
    <row r="104" spans="9:15">
      <c r="I104" s="358"/>
      <c r="J104" s="358"/>
      <c r="K104" s="358"/>
      <c r="L104" s="358"/>
      <c r="M104" s="358"/>
      <c r="N104" s="358"/>
      <c r="O104" s="358"/>
    </row>
    <row r="105" spans="9:15">
      <c r="I105" s="358"/>
      <c r="J105" s="358"/>
      <c r="K105" s="358"/>
      <c r="L105" s="358"/>
      <c r="M105" s="358"/>
      <c r="N105" s="358"/>
      <c r="O105" s="358"/>
    </row>
    <row r="106" spans="9:15">
      <c r="I106" s="358"/>
      <c r="J106" s="358"/>
      <c r="K106" s="358"/>
      <c r="L106" s="358"/>
      <c r="M106" s="358"/>
      <c r="N106" s="358"/>
      <c r="O106" s="358"/>
    </row>
    <row r="107" spans="9:15">
      <c r="I107" s="358"/>
      <c r="J107" s="358"/>
      <c r="K107" s="358"/>
      <c r="L107" s="358"/>
      <c r="M107" s="358"/>
      <c r="N107" s="358"/>
      <c r="O107" s="358"/>
    </row>
    <row r="108" spans="9:15">
      <c r="I108" s="358"/>
      <c r="J108" s="358"/>
      <c r="K108" s="358"/>
      <c r="L108" s="358"/>
      <c r="M108" s="358"/>
      <c r="N108" s="358"/>
      <c r="O108" s="358"/>
    </row>
    <row r="109" spans="9:15">
      <c r="I109" s="358"/>
      <c r="J109" s="358"/>
      <c r="K109" s="358"/>
      <c r="L109" s="358"/>
      <c r="M109" s="358"/>
      <c r="N109" s="358"/>
      <c r="O109" s="358"/>
    </row>
    <row r="110" spans="9:15">
      <c r="I110" s="358"/>
      <c r="J110" s="358"/>
      <c r="K110" s="358"/>
      <c r="L110" s="358"/>
      <c r="M110" s="358"/>
      <c r="N110" s="358"/>
      <c r="O110" s="358"/>
    </row>
    <row r="111" spans="9:15">
      <c r="I111" s="358"/>
      <c r="J111" s="358"/>
      <c r="K111" s="358"/>
      <c r="L111" s="358"/>
      <c r="M111" s="358"/>
      <c r="N111" s="358"/>
      <c r="O111" s="358"/>
    </row>
    <row r="112" spans="9:15">
      <c r="I112" s="358"/>
      <c r="J112" s="358"/>
      <c r="K112" s="358"/>
      <c r="L112" s="358"/>
      <c r="M112" s="358"/>
      <c r="N112" s="358"/>
      <c r="O112" s="358"/>
    </row>
    <row r="113" spans="9:15">
      <c r="I113" s="358"/>
      <c r="J113" s="358"/>
      <c r="K113" s="358"/>
      <c r="L113" s="358"/>
      <c r="M113" s="358"/>
      <c r="N113" s="358"/>
      <c r="O113" s="358"/>
    </row>
    <row r="114" spans="9:15">
      <c r="I114" s="358"/>
      <c r="J114" s="358"/>
      <c r="K114" s="358"/>
      <c r="L114" s="358"/>
      <c r="M114" s="358"/>
      <c r="N114" s="358"/>
      <c r="O114" s="358"/>
    </row>
    <row r="115" spans="9:15">
      <c r="I115" s="358"/>
      <c r="J115" s="358"/>
      <c r="K115" s="358"/>
      <c r="L115" s="358"/>
      <c r="M115" s="358"/>
      <c r="N115" s="358"/>
      <c r="O115" s="358"/>
    </row>
    <row r="116" spans="9:15">
      <c r="I116" s="358"/>
      <c r="J116" s="358"/>
      <c r="K116" s="358"/>
      <c r="L116" s="358"/>
      <c r="M116" s="358"/>
      <c r="N116" s="358"/>
      <c r="O116" s="358"/>
    </row>
    <row r="117" spans="9:15">
      <c r="K117" s="358"/>
      <c r="L117" s="358"/>
      <c r="M117" s="358"/>
      <c r="N117" s="358"/>
      <c r="O117" s="358"/>
    </row>
    <row r="118" spans="9:15">
      <c r="K118" s="358"/>
      <c r="L118" s="358"/>
      <c r="M118" s="358"/>
      <c r="N118" s="358"/>
      <c r="O118" s="358"/>
    </row>
    <row r="119" spans="9:15">
      <c r="K119" s="358"/>
      <c r="L119" s="358"/>
      <c r="M119" s="358"/>
      <c r="N119" s="358"/>
      <c r="O119" s="358"/>
    </row>
    <row r="120" spans="9:15">
      <c r="K120" s="358"/>
      <c r="L120" s="358"/>
      <c r="M120" s="358"/>
      <c r="N120" s="358"/>
      <c r="O120" s="358"/>
    </row>
    <row r="121" spans="9:15">
      <c r="K121" s="358"/>
      <c r="L121" s="358"/>
      <c r="M121" s="358"/>
      <c r="N121" s="358"/>
      <c r="O121" s="358"/>
    </row>
    <row r="122" spans="9:15">
      <c r="K122" s="358"/>
      <c r="L122" s="358"/>
      <c r="M122" s="358"/>
      <c r="N122" s="358"/>
      <c r="O122" s="358"/>
    </row>
    <row r="123" spans="9:15">
      <c r="K123" s="358"/>
      <c r="L123" s="358"/>
      <c r="M123" s="358"/>
      <c r="N123" s="358"/>
      <c r="O123" s="358"/>
    </row>
    <row r="124" spans="9:15">
      <c r="K124" s="358"/>
      <c r="L124" s="358"/>
      <c r="M124" s="358"/>
      <c r="N124" s="358"/>
      <c r="O124" s="358"/>
    </row>
    <row r="125" spans="9:15">
      <c r="K125" s="358"/>
      <c r="L125" s="358"/>
      <c r="M125" s="358"/>
      <c r="N125" s="358"/>
      <c r="O125" s="358"/>
    </row>
  </sheetData>
  <sortState xmlns:xlrd2="http://schemas.microsoft.com/office/spreadsheetml/2017/richdata2" ref="B32:B35">
    <sortCondition ref="B31:B3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472C4"/>
  </sheetPr>
  <dimension ref="B1:E21"/>
  <sheetViews>
    <sheetView showGridLines="0" workbookViewId="0">
      <selection activeCell="S737" sqref="S737:S758"/>
    </sheetView>
  </sheetViews>
  <sheetFormatPr defaultColWidth="11" defaultRowHeight="15.75"/>
  <cols>
    <col min="1" max="1" width="5" style="1" customWidth="1"/>
    <col min="2" max="2" width="11" style="1"/>
    <col min="3" max="3" width="14.5" style="1" customWidth="1"/>
    <col min="4" max="16384" width="11" style="1"/>
  </cols>
  <sheetData>
    <row r="1" spans="2:5">
      <c r="B1" s="64" t="s">
        <v>21</v>
      </c>
      <c r="C1" s="64" t="s">
        <v>21</v>
      </c>
    </row>
    <row r="2" spans="2:5">
      <c r="B2" s="65" t="s">
        <v>2184</v>
      </c>
      <c r="C2" s="66" t="s">
        <v>2185</v>
      </c>
      <c r="D2" s="1" t="s">
        <v>8</v>
      </c>
    </row>
    <row r="3" spans="2:5">
      <c r="B3" s="820" t="s">
        <v>278</v>
      </c>
      <c r="C3" s="820">
        <v>1</v>
      </c>
      <c r="D3" s="62" t="s">
        <v>8</v>
      </c>
      <c r="E3" s="62"/>
    </row>
    <row r="4" spans="2:5">
      <c r="B4" s="820" t="s">
        <v>260</v>
      </c>
      <c r="C4" s="69">
        <v>1.056</v>
      </c>
      <c r="D4" s="62" t="s">
        <v>8</v>
      </c>
      <c r="E4" s="62"/>
    </row>
    <row r="5" spans="2:5">
      <c r="B5" s="820" t="s">
        <v>353</v>
      </c>
      <c r="C5" s="69">
        <v>1.3534999999999999</v>
      </c>
      <c r="D5" s="62"/>
      <c r="E5" s="62"/>
    </row>
    <row r="6" spans="2:5">
      <c r="B6" s="820" t="s">
        <v>1743</v>
      </c>
      <c r="C6" s="68">
        <v>0.85797999999999996</v>
      </c>
      <c r="D6" s="62" t="s">
        <v>8</v>
      </c>
      <c r="E6" s="62"/>
    </row>
    <row r="7" spans="2:5">
      <c r="B7" s="820" t="s">
        <v>1405</v>
      </c>
      <c r="C7" s="68">
        <v>4.6501000000000001</v>
      </c>
      <c r="D7" s="62" t="s">
        <v>8</v>
      </c>
      <c r="E7" s="62"/>
    </row>
    <row r="8" spans="2:5">
      <c r="B8" s="820" t="s">
        <v>1488</v>
      </c>
      <c r="C8" s="68">
        <v>4.9444999999999997</v>
      </c>
      <c r="D8" s="62" t="s">
        <v>8</v>
      </c>
      <c r="E8" s="62"/>
    </row>
    <row r="9" spans="2:5">
      <c r="B9" s="820" t="s">
        <v>1651</v>
      </c>
      <c r="C9" s="68">
        <v>10.6082</v>
      </c>
      <c r="D9" s="62" t="s">
        <v>8</v>
      </c>
      <c r="E9" s="62"/>
    </row>
    <row r="10" spans="2:5">
      <c r="B10" s="820" t="s">
        <v>466</v>
      </c>
      <c r="C10" s="68">
        <v>7.5255000000000001</v>
      </c>
      <c r="D10" s="62" t="s">
        <v>8</v>
      </c>
      <c r="E10" s="62"/>
    </row>
    <row r="11" spans="2:5">
      <c r="B11" s="820" t="s">
        <v>505</v>
      </c>
      <c r="C11" s="68">
        <v>24.721</v>
      </c>
      <c r="D11" s="62" t="s">
        <v>8</v>
      </c>
      <c r="E11" s="62"/>
    </row>
    <row r="12" spans="2:5">
      <c r="B12" s="820" t="s">
        <v>621</v>
      </c>
      <c r="C12" s="68">
        <v>7.4391999999999996</v>
      </c>
      <c r="D12" s="62" t="s">
        <v>8</v>
      </c>
      <c r="E12" s="62"/>
    </row>
    <row r="13" spans="2:5">
      <c r="B13" s="64" t="s">
        <v>193</v>
      </c>
      <c r="C13" s="70">
        <v>1.5059</v>
      </c>
      <c r="D13" s="62"/>
      <c r="E13" s="62"/>
    </row>
    <row r="14" spans="2:5">
      <c r="B14" s="64" t="s">
        <v>1331</v>
      </c>
      <c r="C14" s="70">
        <v>10.3001</v>
      </c>
      <c r="D14" s="62"/>
      <c r="E14" s="62"/>
    </row>
    <row r="15" spans="2:5">
      <c r="B15" s="64" t="s">
        <v>1696</v>
      </c>
      <c r="C15" s="70">
        <v>1.0235000000000001</v>
      </c>
      <c r="D15" s="62"/>
      <c r="E15" s="62"/>
    </row>
    <row r="16" spans="2:5">
      <c r="B16" s="64" t="s">
        <v>1282</v>
      </c>
      <c r="C16" s="70">
        <v>1.6653</v>
      </c>
      <c r="D16" s="62"/>
      <c r="E16" s="62"/>
    </row>
    <row r="17" spans="2:5">
      <c r="B17" s="71" t="s">
        <v>982</v>
      </c>
      <c r="C17" s="73">
        <v>396.86</v>
      </c>
      <c r="D17" s="62"/>
      <c r="E17" s="62"/>
    </row>
    <row r="18" spans="2:5">
      <c r="B18" s="64" t="s">
        <v>458</v>
      </c>
      <c r="C18" s="485">
        <v>7.0697000000000001</v>
      </c>
      <c r="D18" s="62"/>
      <c r="E18" s="62"/>
    </row>
    <row r="19" spans="2:5">
      <c r="B19" s="1" t="s">
        <v>2186</v>
      </c>
      <c r="C19" s="486">
        <v>33.423999999999999</v>
      </c>
      <c r="D19" s="62"/>
      <c r="E19" s="62"/>
    </row>
    <row r="21" spans="2:5">
      <c r="B21" s="67" t="s">
        <v>2187</v>
      </c>
    </row>
  </sheetData>
  <hyperlinks>
    <hyperlink ref="C4" r:id="rId1" display="1.0624" xr:uid="{00000000-0004-0000-0600-000000000000}"/>
    <hyperlink ref="C5" r:id="rId2" display="1.36" xr:uid="{00000000-0004-0000-0600-000001000000}"/>
    <hyperlink ref="C6" r:id="rId3" display="0.83523" xr:uid="{00000000-0004-0000-0600-000002000000}"/>
    <hyperlink ref="C7" r:id="rId4" display="4.63" xr:uid="{00000000-0004-0000-0600-000003000000}"/>
    <hyperlink ref="C8" r:id="rId5" display="4.945" xr:uid="{00000000-0004-0000-0600-000004000000}"/>
    <hyperlink ref="C9" r:id="rId6" display="10.2553" xr:uid="{00000000-0004-0000-0600-000005000000}"/>
    <hyperlink ref="C10" r:id="rId7" display="7.5635" xr:uid="{00000000-0004-0000-0600-000006000000}"/>
    <hyperlink ref="C11" r:id="rId8" display="24.38" xr:uid="{00000000-0004-0000-0600-000007000000}"/>
    <hyperlink ref="C12" r:id="rId9" display="7.4403" xr:uid="{00000000-0004-0000-0600-000008000000}"/>
    <hyperlink ref="C13" r:id="rId10" display="1.4913" xr:uid="{00000000-0004-0000-0600-000009000000}"/>
    <hyperlink ref="C14" r:id="rId11" display="9.9248" xr:uid="{00000000-0004-0000-0600-00000A000000}"/>
    <hyperlink ref="C15" r:id="rId12" display="1.0253" xr:uid="{00000000-0004-0000-0600-00000B000000}"/>
    <hyperlink ref="C16" r:id="rId13" display="1.6366" xr:uid="{00000000-0004-0000-0600-00000C000000}"/>
    <hyperlink ref="C17" r:id="rId14" display="389.33" xr:uid="{00000000-0004-0000-0600-00000D000000}"/>
    <hyperlink ref="C18" r:id="rId15" display="7.1216" xr:uid="{9BD225E7-FF1C-4F82-93CF-3373A133FF1E}"/>
    <hyperlink ref="C19" r:id="rId16" display="33.424" xr:uid="{68DD394F-6BF1-40FC-9E97-ACBE0A928071}"/>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4472C4"/>
  </sheetPr>
  <dimension ref="A1:G392"/>
  <sheetViews>
    <sheetView topLeftCell="A119" zoomScale="85" zoomScaleNormal="85" workbookViewId="0">
      <selection activeCell="D120" sqref="D120"/>
    </sheetView>
  </sheetViews>
  <sheetFormatPr defaultColWidth="11" defaultRowHeight="15.75"/>
  <cols>
    <col min="1" max="1" width="48.125" style="178" customWidth="1"/>
    <col min="2" max="2" width="14.5" style="577" customWidth="1"/>
    <col min="3" max="3" width="14.5" style="143" customWidth="1"/>
    <col min="4" max="4" width="32.5" style="581" customWidth="1"/>
    <col min="5" max="5" width="32.5" style="202" customWidth="1"/>
    <col min="6" max="6" width="29.5" style="527" customWidth="1"/>
    <col min="7" max="7" width="30" style="624" customWidth="1"/>
    <col min="8" max="16384" width="11" style="48"/>
  </cols>
  <sheetData>
    <row r="1" spans="1:7" ht="19.5" customHeight="1">
      <c r="A1" s="63" t="s">
        <v>2188</v>
      </c>
      <c r="B1" s="571" t="s">
        <v>2189</v>
      </c>
      <c r="C1" s="554" t="s">
        <v>171</v>
      </c>
      <c r="D1" s="595" t="s">
        <v>2190</v>
      </c>
      <c r="E1" s="555" t="s">
        <v>2073</v>
      </c>
      <c r="F1" s="80" t="s">
        <v>2074</v>
      </c>
      <c r="G1" s="77" t="s">
        <v>2184</v>
      </c>
    </row>
    <row r="2" spans="1:7">
      <c r="A2" s="630" t="s">
        <v>194</v>
      </c>
      <c r="B2" s="572" t="s">
        <v>194</v>
      </c>
      <c r="C2" s="142">
        <v>0</v>
      </c>
      <c r="D2" s="581" t="s">
        <v>194</v>
      </c>
      <c r="E2" s="629" t="s">
        <v>194</v>
      </c>
      <c r="F2" s="430" t="s">
        <v>194</v>
      </c>
      <c r="G2" s="47" t="s">
        <v>194</v>
      </c>
    </row>
    <row r="3" spans="1:7">
      <c r="A3" s="45" t="s">
        <v>522</v>
      </c>
      <c r="B3" s="572">
        <v>2</v>
      </c>
      <c r="C3" s="142">
        <v>1</v>
      </c>
      <c r="D3" s="581">
        <v>8625</v>
      </c>
      <c r="E3" s="197" t="s">
        <v>2191</v>
      </c>
      <c r="F3" s="176" t="s">
        <v>2192</v>
      </c>
      <c r="G3" s="47" t="s">
        <v>260</v>
      </c>
    </row>
    <row r="4" spans="1:7" ht="18" customHeight="1">
      <c r="A4" s="630" t="s">
        <v>1389</v>
      </c>
      <c r="B4" s="572">
        <v>4.5</v>
      </c>
      <c r="C4" s="142">
        <v>0</v>
      </c>
      <c r="D4" s="581">
        <v>2000</v>
      </c>
      <c r="E4" s="171" t="s">
        <v>2193</v>
      </c>
      <c r="F4" s="430" t="s">
        <v>2194</v>
      </c>
      <c r="G4" s="47" t="s">
        <v>260</v>
      </c>
    </row>
    <row r="5" spans="1:7" ht="13.5" customHeight="1">
      <c r="A5" s="179" t="s">
        <v>1814</v>
      </c>
      <c r="B5" s="572">
        <v>4</v>
      </c>
      <c r="C5" s="142">
        <v>0</v>
      </c>
      <c r="D5" s="581">
        <v>517000</v>
      </c>
      <c r="E5" s="138" t="s">
        <v>2195</v>
      </c>
      <c r="F5" s="629" t="s">
        <v>2196</v>
      </c>
      <c r="G5" s="47" t="s">
        <v>260</v>
      </c>
    </row>
    <row r="6" spans="1:7" ht="13.5" customHeight="1">
      <c r="A6" s="630" t="s">
        <v>2197</v>
      </c>
      <c r="B6" s="572">
        <v>2.5</v>
      </c>
      <c r="C6" s="142">
        <v>1</v>
      </c>
      <c r="D6" s="581">
        <v>0.56999999999999995</v>
      </c>
      <c r="E6" s="756" t="s">
        <v>2198</v>
      </c>
      <c r="F6" s="629" t="s">
        <v>2199</v>
      </c>
      <c r="G6" s="47" t="s">
        <v>260</v>
      </c>
    </row>
    <row r="7" spans="1:7" ht="15" customHeight="1">
      <c r="A7" s="630" t="s">
        <v>1385</v>
      </c>
      <c r="B7" s="572">
        <v>2</v>
      </c>
      <c r="C7" s="142">
        <v>0</v>
      </c>
      <c r="D7" s="581">
        <v>11000</v>
      </c>
      <c r="E7" s="171" t="s">
        <v>2200</v>
      </c>
      <c r="F7" s="629" t="s">
        <v>2201</v>
      </c>
      <c r="G7" s="47" t="s">
        <v>260</v>
      </c>
    </row>
    <row r="8" spans="1:7" ht="15.75" customHeight="1">
      <c r="A8" s="45" t="s">
        <v>512</v>
      </c>
      <c r="B8" s="572">
        <v>2</v>
      </c>
      <c r="C8" s="142">
        <v>1</v>
      </c>
      <c r="D8" s="581">
        <v>1266</v>
      </c>
      <c r="E8" s="197" t="s">
        <v>2202</v>
      </c>
      <c r="F8" s="176" t="s">
        <v>2203</v>
      </c>
      <c r="G8" s="47" t="s">
        <v>260</v>
      </c>
    </row>
    <row r="9" spans="1:7">
      <c r="A9" s="45" t="s">
        <v>518</v>
      </c>
      <c r="B9" s="572">
        <v>2</v>
      </c>
      <c r="C9" s="142">
        <v>1</v>
      </c>
      <c r="D9" s="581">
        <v>2522.4499999999998</v>
      </c>
      <c r="E9" s="197" t="s">
        <v>2204</v>
      </c>
      <c r="F9" s="176" t="s">
        <v>2205</v>
      </c>
      <c r="G9" s="47" t="s">
        <v>260</v>
      </c>
    </row>
    <row r="10" spans="1:7" ht="15.75" customHeight="1">
      <c r="A10" s="45" t="s">
        <v>517</v>
      </c>
      <c r="B10" s="572">
        <v>2</v>
      </c>
      <c r="C10" s="142">
        <v>0</v>
      </c>
      <c r="D10" s="581">
        <v>5175</v>
      </c>
      <c r="E10" s="197" t="s">
        <v>2206</v>
      </c>
      <c r="F10" s="176" t="s">
        <v>2207</v>
      </c>
      <c r="G10" s="47" t="s">
        <v>260</v>
      </c>
    </row>
    <row r="11" spans="1:7" ht="15.75" customHeight="1">
      <c r="A11" s="45" t="s">
        <v>515</v>
      </c>
      <c r="B11" s="572">
        <v>2</v>
      </c>
      <c r="C11" s="142">
        <v>1</v>
      </c>
      <c r="D11" s="581">
        <v>1084</v>
      </c>
      <c r="E11" s="197" t="s">
        <v>2208</v>
      </c>
      <c r="F11" s="176" t="s">
        <v>2209</v>
      </c>
      <c r="G11" s="47" t="s">
        <v>260</v>
      </c>
    </row>
    <row r="12" spans="1:7" ht="15.75" customHeight="1">
      <c r="A12" s="45" t="s">
        <v>510</v>
      </c>
      <c r="B12" s="572">
        <v>2</v>
      </c>
      <c r="C12" s="142">
        <v>0</v>
      </c>
      <c r="D12" s="556">
        <v>418.08</v>
      </c>
      <c r="E12" s="171" t="s">
        <v>2210</v>
      </c>
      <c r="F12" s="176" t="s">
        <v>2211</v>
      </c>
      <c r="G12" s="47" t="s">
        <v>260</v>
      </c>
    </row>
    <row r="13" spans="1:7" ht="18" customHeight="1">
      <c r="A13" s="630" t="s">
        <v>2212</v>
      </c>
      <c r="B13" s="572">
        <v>0</v>
      </c>
      <c r="C13" s="142">
        <v>0</v>
      </c>
      <c r="D13" s="581">
        <v>304</v>
      </c>
      <c r="E13" s="171" t="s">
        <v>2213</v>
      </c>
      <c r="F13" s="430" t="s">
        <v>2214</v>
      </c>
      <c r="G13" s="47" t="s">
        <v>260</v>
      </c>
    </row>
    <row r="14" spans="1:7" ht="17.25" customHeight="1">
      <c r="A14" s="628" t="s">
        <v>1521</v>
      </c>
      <c r="B14" s="572">
        <v>3</v>
      </c>
      <c r="C14" s="142">
        <v>0</v>
      </c>
      <c r="D14" s="581">
        <v>119000</v>
      </c>
      <c r="E14" s="171" t="s">
        <v>2215</v>
      </c>
      <c r="F14" s="430" t="s">
        <v>2216</v>
      </c>
      <c r="G14" s="47" t="s">
        <v>260</v>
      </c>
    </row>
    <row r="15" spans="1:7" ht="17.25" customHeight="1">
      <c r="A15" s="630" t="s">
        <v>944</v>
      </c>
      <c r="B15" s="572">
        <v>2</v>
      </c>
      <c r="C15" s="142">
        <v>1</v>
      </c>
      <c r="D15" s="581">
        <v>750</v>
      </c>
      <c r="E15" s="171" t="s">
        <v>2217</v>
      </c>
      <c r="F15" s="85" t="s">
        <v>2218</v>
      </c>
      <c r="G15" s="47" t="s">
        <v>260</v>
      </c>
    </row>
    <row r="16" spans="1:7" ht="16.5" customHeight="1">
      <c r="A16" s="767" t="s">
        <v>272</v>
      </c>
      <c r="B16" s="572">
        <v>0</v>
      </c>
      <c r="C16" s="142">
        <v>0</v>
      </c>
      <c r="D16" s="582">
        <v>220000</v>
      </c>
      <c r="E16" s="198" t="s">
        <v>2219</v>
      </c>
      <c r="F16" s="431" t="s">
        <v>2220</v>
      </c>
      <c r="G16" s="47" t="s">
        <v>260</v>
      </c>
    </row>
    <row r="17" spans="1:7" ht="17.25" customHeight="1">
      <c r="A17" s="767" t="s">
        <v>2221</v>
      </c>
      <c r="B17" s="572">
        <v>1</v>
      </c>
      <c r="C17" s="142">
        <v>0</v>
      </c>
      <c r="D17" s="582">
        <v>220000</v>
      </c>
      <c r="E17" s="198" t="s">
        <v>2219</v>
      </c>
      <c r="F17" s="431" t="s">
        <v>2220</v>
      </c>
      <c r="G17" s="47" t="s">
        <v>260</v>
      </c>
    </row>
    <row r="18" spans="1:7" ht="15" customHeight="1">
      <c r="A18" s="180" t="s">
        <v>1888</v>
      </c>
      <c r="B18" s="572">
        <v>1</v>
      </c>
      <c r="C18" s="142">
        <v>0</v>
      </c>
      <c r="D18" s="582">
        <v>70000000</v>
      </c>
      <c r="E18" s="199" t="s">
        <v>2222</v>
      </c>
      <c r="F18" s="787" t="s">
        <v>2223</v>
      </c>
      <c r="G18" s="47" t="s">
        <v>260</v>
      </c>
    </row>
    <row r="19" spans="1:7" ht="18" customHeight="1">
      <c r="A19" s="180" t="s">
        <v>1887</v>
      </c>
      <c r="B19" s="572">
        <v>1</v>
      </c>
      <c r="C19" s="142">
        <v>0</v>
      </c>
      <c r="D19" s="582">
        <v>8888888</v>
      </c>
      <c r="E19" s="200" t="s">
        <v>2224</v>
      </c>
      <c r="F19" s="803" t="s">
        <v>2225</v>
      </c>
      <c r="G19" s="47" t="s">
        <v>260</v>
      </c>
    </row>
    <row r="20" spans="1:7">
      <c r="A20" s="767" t="s">
        <v>1783</v>
      </c>
      <c r="B20" s="572">
        <v>3.5</v>
      </c>
      <c r="C20" s="142">
        <v>0</v>
      </c>
      <c r="D20" s="582">
        <v>130347</v>
      </c>
      <c r="E20" s="201" t="s">
        <v>2226</v>
      </c>
      <c r="F20" s="803" t="s">
        <v>2227</v>
      </c>
      <c r="G20" s="47" t="s">
        <v>260</v>
      </c>
    </row>
    <row r="21" spans="1:7" ht="18" customHeight="1">
      <c r="A21" s="180" t="s">
        <v>1892</v>
      </c>
      <c r="B21" s="572">
        <v>3</v>
      </c>
      <c r="C21" s="142">
        <v>0</v>
      </c>
      <c r="D21" s="582">
        <v>256000</v>
      </c>
      <c r="E21" s="171" t="s">
        <v>2228</v>
      </c>
      <c r="F21" s="430" t="s">
        <v>2229</v>
      </c>
      <c r="G21" s="47" t="s">
        <v>260</v>
      </c>
    </row>
    <row r="22" spans="1:7" ht="17.25" customHeight="1">
      <c r="A22" s="767" t="s">
        <v>1795</v>
      </c>
      <c r="B22" s="572">
        <v>4</v>
      </c>
      <c r="C22" s="142">
        <v>0</v>
      </c>
      <c r="D22" s="582">
        <v>3960000</v>
      </c>
      <c r="E22" s="199" t="s">
        <v>2230</v>
      </c>
      <c r="F22" s="787" t="s">
        <v>2231</v>
      </c>
      <c r="G22" s="47" t="s">
        <v>260</v>
      </c>
    </row>
    <row r="23" spans="1:7">
      <c r="A23" s="92" t="s">
        <v>1516</v>
      </c>
      <c r="B23" s="572">
        <v>3</v>
      </c>
      <c r="C23" s="142">
        <v>0</v>
      </c>
      <c r="D23" s="556">
        <v>102000</v>
      </c>
      <c r="E23" s="201" t="s">
        <v>2232</v>
      </c>
      <c r="F23" s="803" t="s">
        <v>2233</v>
      </c>
      <c r="G23" s="47" t="s">
        <v>260</v>
      </c>
    </row>
    <row r="24" spans="1:7" ht="15.75" customHeight="1">
      <c r="A24" s="767" t="s">
        <v>2234</v>
      </c>
      <c r="B24" s="572">
        <v>3</v>
      </c>
      <c r="C24" s="142">
        <v>0</v>
      </c>
      <c r="D24" s="581">
        <v>35000</v>
      </c>
      <c r="E24" s="171" t="s">
        <v>2235</v>
      </c>
      <c r="F24" s="803" t="s">
        <v>2236</v>
      </c>
      <c r="G24" s="47" t="s">
        <v>260</v>
      </c>
    </row>
    <row r="25" spans="1:7" ht="16.5" customHeight="1">
      <c r="A25" s="775" t="s">
        <v>1132</v>
      </c>
      <c r="B25" s="572">
        <v>1</v>
      </c>
      <c r="C25" s="142">
        <v>0</v>
      </c>
      <c r="D25" s="556" t="s">
        <v>194</v>
      </c>
      <c r="E25" s="629" t="s">
        <v>194</v>
      </c>
      <c r="F25" s="430" t="s">
        <v>2237</v>
      </c>
      <c r="G25" s="47" t="s">
        <v>194</v>
      </c>
    </row>
    <row r="26" spans="1:7" ht="18" customHeight="1">
      <c r="A26" s="179" t="s">
        <v>1893</v>
      </c>
      <c r="B26" s="572">
        <v>4</v>
      </c>
      <c r="C26" s="142">
        <v>0</v>
      </c>
      <c r="D26" s="581">
        <v>52393</v>
      </c>
      <c r="E26" s="138" t="s">
        <v>2238</v>
      </c>
      <c r="F26" s="629" t="s">
        <v>2239</v>
      </c>
      <c r="G26" s="47" t="s">
        <v>260</v>
      </c>
    </row>
    <row r="27" spans="1:7" ht="18.75" customHeight="1">
      <c r="A27" s="630" t="s">
        <v>838</v>
      </c>
      <c r="B27" s="572">
        <v>1</v>
      </c>
      <c r="C27" s="142">
        <v>0</v>
      </c>
      <c r="D27" s="582">
        <v>60000</v>
      </c>
      <c r="E27" s="138" t="s">
        <v>2240</v>
      </c>
      <c r="F27" s="629" t="s">
        <v>2241</v>
      </c>
      <c r="G27" s="47" t="s">
        <v>260</v>
      </c>
    </row>
    <row r="28" spans="1:7" ht="15" customHeight="1">
      <c r="A28" s="179" t="s">
        <v>1886</v>
      </c>
      <c r="B28" s="572">
        <v>4.5</v>
      </c>
      <c r="C28" s="142">
        <v>0</v>
      </c>
      <c r="D28" s="581">
        <v>2000</v>
      </c>
      <c r="E28" s="171" t="s">
        <v>2193</v>
      </c>
      <c r="F28" s="430" t="s">
        <v>2194</v>
      </c>
      <c r="G28" s="47" t="s">
        <v>260</v>
      </c>
    </row>
    <row r="29" spans="1:7" ht="17.25" customHeight="1">
      <c r="A29" s="630" t="s">
        <v>531</v>
      </c>
      <c r="B29" s="572">
        <v>2</v>
      </c>
      <c r="C29" s="142">
        <v>0</v>
      </c>
      <c r="D29" s="582">
        <v>1500</v>
      </c>
      <c r="E29" s="171" t="s">
        <v>2242</v>
      </c>
      <c r="F29" s="629" t="s">
        <v>2243</v>
      </c>
      <c r="G29" s="47" t="s">
        <v>260</v>
      </c>
    </row>
    <row r="30" spans="1:7" ht="13.5" customHeight="1">
      <c r="A30" s="630" t="s">
        <v>1877</v>
      </c>
      <c r="B30" s="572">
        <v>3</v>
      </c>
      <c r="C30" s="142">
        <v>0</v>
      </c>
      <c r="D30" s="581">
        <v>1500</v>
      </c>
      <c r="E30" s="171" t="s">
        <v>2244</v>
      </c>
      <c r="F30" s="629" t="s">
        <v>194</v>
      </c>
      <c r="G30" s="47" t="s">
        <v>260</v>
      </c>
    </row>
    <row r="31" spans="1:7" ht="15.75" customHeight="1">
      <c r="A31" s="634" t="s">
        <v>348</v>
      </c>
      <c r="B31" s="572">
        <v>1</v>
      </c>
      <c r="C31" s="142">
        <v>0</v>
      </c>
      <c r="D31" s="581">
        <v>500</v>
      </c>
      <c r="E31" s="171" t="s">
        <v>2245</v>
      </c>
      <c r="F31" s="629" t="s">
        <v>2246</v>
      </c>
      <c r="G31" s="47" t="s">
        <v>260</v>
      </c>
    </row>
    <row r="32" spans="1:7" ht="15" customHeight="1">
      <c r="A32" s="630" t="s">
        <v>1016</v>
      </c>
      <c r="B32" s="572">
        <v>0</v>
      </c>
      <c r="C32" s="142">
        <v>0</v>
      </c>
      <c r="D32" s="581">
        <v>10</v>
      </c>
      <c r="E32" s="171" t="s">
        <v>2247</v>
      </c>
      <c r="F32" s="430" t="s">
        <v>2248</v>
      </c>
      <c r="G32" s="47" t="s">
        <v>260</v>
      </c>
    </row>
    <row r="33" spans="1:7" ht="18" customHeight="1">
      <c r="A33" s="630" t="s">
        <v>1011</v>
      </c>
      <c r="B33" s="572">
        <v>0</v>
      </c>
      <c r="C33" s="142">
        <v>0</v>
      </c>
      <c r="D33" s="556" t="s">
        <v>194</v>
      </c>
      <c r="E33" s="629" t="s">
        <v>194</v>
      </c>
      <c r="F33" s="629" t="s">
        <v>2249</v>
      </c>
      <c r="G33" s="47" t="s">
        <v>194</v>
      </c>
    </row>
    <row r="34" spans="1:7" ht="16.5" customHeight="1">
      <c r="A34" s="634" t="s">
        <v>533</v>
      </c>
      <c r="B34" s="573">
        <v>2.5</v>
      </c>
      <c r="C34" s="142">
        <v>0</v>
      </c>
      <c r="D34" s="556">
        <f>0.418*'Currency Conversion'!C4</f>
        <v>0.44140800000000002</v>
      </c>
      <c r="E34" s="171" t="s">
        <v>2250</v>
      </c>
      <c r="F34" s="629" t="s">
        <v>2251</v>
      </c>
      <c r="G34" s="47" t="s">
        <v>260</v>
      </c>
    </row>
    <row r="35" spans="1:7" ht="15.75" customHeight="1">
      <c r="A35" s="630" t="s">
        <v>574</v>
      </c>
      <c r="B35" s="572">
        <v>4</v>
      </c>
      <c r="C35" s="142">
        <v>1</v>
      </c>
      <c r="D35" s="583">
        <v>30000</v>
      </c>
      <c r="E35" s="171" t="s">
        <v>2252</v>
      </c>
      <c r="F35" s="629" t="s">
        <v>2253</v>
      </c>
      <c r="G35" s="47" t="s">
        <v>260</v>
      </c>
    </row>
    <row r="36" spans="1:7" ht="15.75" customHeight="1">
      <c r="A36" s="179" t="s">
        <v>1898</v>
      </c>
      <c r="B36" s="572">
        <v>1</v>
      </c>
      <c r="C36" s="142">
        <v>0</v>
      </c>
      <c r="D36" s="583">
        <v>35</v>
      </c>
      <c r="E36" s="138" t="s">
        <v>2254</v>
      </c>
      <c r="F36" s="629" t="s">
        <v>2255</v>
      </c>
      <c r="G36" s="47" t="s">
        <v>260</v>
      </c>
    </row>
    <row r="37" spans="1:7">
      <c r="A37" s="630" t="s">
        <v>2256</v>
      </c>
      <c r="B37" s="572">
        <v>0</v>
      </c>
      <c r="C37" s="142">
        <v>0</v>
      </c>
      <c r="D37" s="556" t="s">
        <v>194</v>
      </c>
      <c r="E37" s="629" t="s">
        <v>194</v>
      </c>
      <c r="F37" s="430" t="s">
        <v>194</v>
      </c>
      <c r="G37" s="47" t="s">
        <v>194</v>
      </c>
    </row>
    <row r="38" spans="1:7" ht="20.25" customHeight="1">
      <c r="A38" s="630" t="s">
        <v>2257</v>
      </c>
      <c r="B38" s="572">
        <v>0</v>
      </c>
      <c r="C38" s="142">
        <v>0</v>
      </c>
      <c r="D38" s="556">
        <v>0.35</v>
      </c>
      <c r="E38" s="171" t="s">
        <v>2258</v>
      </c>
      <c r="F38" s="430" t="s">
        <v>2259</v>
      </c>
      <c r="G38" s="47" t="s">
        <v>260</v>
      </c>
    </row>
    <row r="39" spans="1:7" ht="16.5" customHeight="1">
      <c r="A39" s="81" t="s">
        <v>405</v>
      </c>
      <c r="B39" s="572">
        <v>2</v>
      </c>
      <c r="C39" s="142">
        <v>0</v>
      </c>
      <c r="D39" s="581">
        <v>20000</v>
      </c>
      <c r="E39" s="171" t="s">
        <v>2260</v>
      </c>
      <c r="F39" s="629" t="s">
        <v>2261</v>
      </c>
      <c r="G39" s="47" t="s">
        <v>260</v>
      </c>
    </row>
    <row r="40" spans="1:7" ht="15.75" customHeight="1">
      <c r="A40" s="630" t="s">
        <v>743</v>
      </c>
      <c r="B40" s="572">
        <v>2.5</v>
      </c>
      <c r="C40" s="142">
        <v>0</v>
      </c>
      <c r="D40" s="581">
        <v>0.4</v>
      </c>
      <c r="E40" s="171" t="s">
        <v>2262</v>
      </c>
      <c r="F40" s="629" t="s">
        <v>2263</v>
      </c>
      <c r="G40" s="47" t="s">
        <v>260</v>
      </c>
    </row>
    <row r="41" spans="1:7" ht="18.75" customHeight="1">
      <c r="A41" s="630" t="s">
        <v>976</v>
      </c>
      <c r="B41" s="572">
        <v>0</v>
      </c>
      <c r="C41" s="142">
        <v>0</v>
      </c>
      <c r="D41" s="556">
        <v>250</v>
      </c>
      <c r="E41" s="171" t="s">
        <v>2264</v>
      </c>
      <c r="F41" s="629" t="s">
        <v>2265</v>
      </c>
      <c r="G41" s="47" t="s">
        <v>260</v>
      </c>
    </row>
    <row r="42" spans="1:7">
      <c r="A42" s="179" t="s">
        <v>1102</v>
      </c>
      <c r="B42" s="572">
        <v>1</v>
      </c>
      <c r="C42" s="142">
        <v>0</v>
      </c>
      <c r="D42" s="581" t="s">
        <v>194</v>
      </c>
      <c r="E42" s="629" t="s">
        <v>194</v>
      </c>
      <c r="F42" s="430" t="s">
        <v>194</v>
      </c>
      <c r="G42" s="47" t="s">
        <v>194</v>
      </c>
    </row>
    <row r="43" spans="1:7" ht="15" customHeight="1">
      <c r="A43" s="179" t="s">
        <v>1896</v>
      </c>
      <c r="B43" s="572">
        <v>4</v>
      </c>
      <c r="C43" s="142">
        <v>0</v>
      </c>
      <c r="D43" s="581">
        <v>2285714</v>
      </c>
      <c r="E43" s="138" t="s">
        <v>2266</v>
      </c>
      <c r="F43" s="629" t="s">
        <v>2267</v>
      </c>
      <c r="G43" s="47" t="s">
        <v>260</v>
      </c>
    </row>
    <row r="44" spans="1:7" ht="15.75" customHeight="1">
      <c r="A44" s="630" t="s">
        <v>1264</v>
      </c>
      <c r="B44" s="572">
        <v>0</v>
      </c>
      <c r="C44" s="142">
        <v>0</v>
      </c>
      <c r="D44" s="581">
        <v>200</v>
      </c>
      <c r="E44" s="171" t="s">
        <v>2268</v>
      </c>
      <c r="F44" s="629" t="s">
        <v>2269</v>
      </c>
      <c r="G44" s="47" t="s">
        <v>260</v>
      </c>
    </row>
    <row r="45" spans="1:7" ht="13.5" customHeight="1">
      <c r="A45" s="630" t="s">
        <v>745</v>
      </c>
      <c r="B45" s="572">
        <v>1</v>
      </c>
      <c r="C45" s="142">
        <v>0</v>
      </c>
      <c r="D45" s="581">
        <v>8</v>
      </c>
      <c r="E45" s="171" t="s">
        <v>2270</v>
      </c>
      <c r="F45" s="629" t="s">
        <v>2271</v>
      </c>
      <c r="G45" s="47" t="s">
        <v>260</v>
      </c>
    </row>
    <row r="46" spans="1:7">
      <c r="A46" s="179" t="s">
        <v>1980</v>
      </c>
      <c r="B46" s="572">
        <v>1</v>
      </c>
      <c r="C46" s="142">
        <v>0</v>
      </c>
      <c r="D46" s="581" t="s">
        <v>194</v>
      </c>
      <c r="E46" s="629" t="s">
        <v>194</v>
      </c>
      <c r="F46" s="430" t="s">
        <v>194</v>
      </c>
      <c r="G46" s="47" t="s">
        <v>194</v>
      </c>
    </row>
    <row r="47" spans="1:7" ht="15.75" customHeight="1">
      <c r="A47" s="179" t="s">
        <v>1975</v>
      </c>
      <c r="B47" s="572">
        <v>5</v>
      </c>
      <c r="C47" s="142">
        <v>0</v>
      </c>
      <c r="D47" s="581">
        <v>15000000</v>
      </c>
      <c r="E47" s="138" t="s">
        <v>2272</v>
      </c>
      <c r="F47" s="629" t="s">
        <v>2273</v>
      </c>
      <c r="G47" s="47" t="s">
        <v>260</v>
      </c>
    </row>
    <row r="48" spans="1:7" ht="15.75" customHeight="1">
      <c r="A48" s="630" t="s">
        <v>2274</v>
      </c>
      <c r="B48" s="572">
        <v>4</v>
      </c>
      <c r="C48" s="142">
        <v>1</v>
      </c>
      <c r="D48" s="581">
        <v>527337</v>
      </c>
      <c r="E48" s="138" t="s">
        <v>2275</v>
      </c>
      <c r="F48" s="629" t="s">
        <v>2276</v>
      </c>
      <c r="G48" s="47" t="s">
        <v>260</v>
      </c>
    </row>
    <row r="49" spans="1:7" ht="15" customHeight="1">
      <c r="A49" s="626" t="s">
        <v>1774</v>
      </c>
      <c r="B49" s="572">
        <v>3.5</v>
      </c>
      <c r="C49" s="142">
        <v>0</v>
      </c>
      <c r="D49" s="581">
        <v>20000</v>
      </c>
      <c r="E49" s="621" t="s">
        <v>2277</v>
      </c>
      <c r="F49" s="631" t="s">
        <v>2278</v>
      </c>
      <c r="G49" s="47" t="s">
        <v>260</v>
      </c>
    </row>
    <row r="50" spans="1:7" ht="15.75" customHeight="1">
      <c r="A50" s="181" t="s">
        <v>911</v>
      </c>
      <c r="B50" s="572">
        <v>1</v>
      </c>
      <c r="C50" s="142">
        <v>0</v>
      </c>
      <c r="D50" s="584">
        <v>365200</v>
      </c>
      <c r="E50" s="756" t="s">
        <v>1513</v>
      </c>
      <c r="F50" s="538" t="s">
        <v>2279</v>
      </c>
      <c r="G50" s="47" t="s">
        <v>260</v>
      </c>
    </row>
    <row r="51" spans="1:7" ht="16.5" customHeight="1">
      <c r="A51" s="620" t="s">
        <v>870</v>
      </c>
      <c r="B51" s="572">
        <v>1</v>
      </c>
      <c r="C51" s="142">
        <v>0</v>
      </c>
      <c r="D51" s="585">
        <v>99.18</v>
      </c>
      <c r="E51" s="171" t="s">
        <v>2280</v>
      </c>
      <c r="F51" s="636" t="s">
        <v>2281</v>
      </c>
      <c r="G51" s="47" t="s">
        <v>260</v>
      </c>
    </row>
    <row r="52" spans="1:7">
      <c r="A52" s="630" t="s">
        <v>1549</v>
      </c>
      <c r="B52" s="572">
        <v>1</v>
      </c>
      <c r="C52" s="142">
        <v>0</v>
      </c>
      <c r="D52" s="556" t="s">
        <v>194</v>
      </c>
      <c r="E52" s="629" t="s">
        <v>194</v>
      </c>
      <c r="F52" s="430" t="s">
        <v>194</v>
      </c>
      <c r="G52" s="47" t="s">
        <v>194</v>
      </c>
    </row>
    <row r="53" spans="1:7" ht="18" customHeight="1">
      <c r="A53" s="620" t="s">
        <v>868</v>
      </c>
      <c r="B53" s="572">
        <v>2.5</v>
      </c>
      <c r="C53" s="142">
        <v>0</v>
      </c>
      <c r="D53" s="585">
        <v>15</v>
      </c>
      <c r="E53" s="197" t="s">
        <v>2282</v>
      </c>
      <c r="F53" s="636" t="s">
        <v>2283</v>
      </c>
      <c r="G53" s="47" t="s">
        <v>260</v>
      </c>
    </row>
    <row r="54" spans="1:7" ht="18.75" customHeight="1">
      <c r="A54" s="628" t="s">
        <v>765</v>
      </c>
      <c r="B54" s="572">
        <v>0</v>
      </c>
      <c r="C54" s="142">
        <v>0</v>
      </c>
      <c r="D54" s="586">
        <v>150</v>
      </c>
      <c r="E54" s="171" t="s">
        <v>2284</v>
      </c>
      <c r="F54" s="629" t="s">
        <v>2285</v>
      </c>
      <c r="G54" s="47" t="s">
        <v>260</v>
      </c>
    </row>
    <row r="55" spans="1:7" ht="15" customHeight="1">
      <c r="A55" s="630" t="s">
        <v>2286</v>
      </c>
      <c r="B55" s="572">
        <v>0</v>
      </c>
      <c r="C55" s="142">
        <v>0</v>
      </c>
      <c r="D55" s="556">
        <f>9.6*'Currency Conversion'!C4</f>
        <v>10.137600000000001</v>
      </c>
      <c r="E55" s="171" t="s">
        <v>2287</v>
      </c>
      <c r="F55" s="629" t="s">
        <v>2288</v>
      </c>
      <c r="G55" s="47" t="s">
        <v>260</v>
      </c>
    </row>
    <row r="56" spans="1:7">
      <c r="A56" s="630" t="s">
        <v>1909</v>
      </c>
      <c r="B56" s="572">
        <v>1</v>
      </c>
      <c r="C56" s="142">
        <v>0</v>
      </c>
      <c r="D56" s="581" t="s">
        <v>194</v>
      </c>
      <c r="E56" s="629" t="s">
        <v>194</v>
      </c>
      <c r="F56" s="430" t="s">
        <v>194</v>
      </c>
      <c r="G56" s="47" t="s">
        <v>194</v>
      </c>
    </row>
    <row r="57" spans="1:7" ht="15" customHeight="1">
      <c r="A57" s="638" t="s">
        <v>230</v>
      </c>
      <c r="B57" s="572">
        <v>1</v>
      </c>
      <c r="C57" s="142">
        <v>0</v>
      </c>
      <c r="D57" s="581">
        <v>8</v>
      </c>
      <c r="E57" s="171" t="s">
        <v>2270</v>
      </c>
      <c r="F57" s="629" t="s">
        <v>2271</v>
      </c>
      <c r="G57" s="47" t="s">
        <v>260</v>
      </c>
    </row>
    <row r="58" spans="1:7" ht="15.75" customHeight="1">
      <c r="A58" s="630" t="s">
        <v>558</v>
      </c>
      <c r="B58" s="572">
        <v>0</v>
      </c>
      <c r="C58" s="142">
        <v>0</v>
      </c>
      <c r="D58" s="581">
        <v>400000</v>
      </c>
      <c r="E58" s="171" t="s">
        <v>2289</v>
      </c>
      <c r="F58" s="629" t="s">
        <v>2290</v>
      </c>
      <c r="G58" s="47" t="s">
        <v>260</v>
      </c>
    </row>
    <row r="59" spans="1:7" ht="16.5" customHeight="1">
      <c r="A59" s="630" t="s">
        <v>770</v>
      </c>
      <c r="B59" s="572">
        <v>0</v>
      </c>
      <c r="C59" s="142">
        <v>0</v>
      </c>
      <c r="D59" s="556">
        <f>245.88*'Currency Conversion'!C4</f>
        <v>259.64928000000003</v>
      </c>
      <c r="E59" s="171" t="s">
        <v>2291</v>
      </c>
      <c r="F59" s="629" t="s">
        <v>2292</v>
      </c>
      <c r="G59" s="47" t="s">
        <v>260</v>
      </c>
    </row>
    <row r="60" spans="1:7">
      <c r="A60" s="630" t="s">
        <v>1386</v>
      </c>
      <c r="B60" s="572">
        <v>5</v>
      </c>
      <c r="C60" s="142">
        <v>0</v>
      </c>
      <c r="D60" s="556">
        <v>150</v>
      </c>
      <c r="E60" s="201" t="s">
        <v>2293</v>
      </c>
      <c r="F60" s="430" t="s">
        <v>194</v>
      </c>
      <c r="G60" s="47" t="s">
        <v>260</v>
      </c>
    </row>
    <row r="61" spans="1:7" ht="14.25" customHeight="1">
      <c r="A61" s="630" t="s">
        <v>315</v>
      </c>
      <c r="B61" s="572">
        <v>2</v>
      </c>
      <c r="C61" s="142">
        <v>0</v>
      </c>
      <c r="D61" s="581">
        <v>3000</v>
      </c>
      <c r="E61" s="171" t="s">
        <v>2294</v>
      </c>
      <c r="F61" s="629" t="s">
        <v>194</v>
      </c>
      <c r="G61" s="47" t="s">
        <v>260</v>
      </c>
    </row>
    <row r="62" spans="1:7" ht="15" customHeight="1">
      <c r="A62" s="630" t="s">
        <v>1709</v>
      </c>
      <c r="B62" s="572">
        <v>0</v>
      </c>
      <c r="C62" s="142">
        <v>0</v>
      </c>
      <c r="D62" s="581">
        <v>22</v>
      </c>
      <c r="E62" s="174" t="s">
        <v>2295</v>
      </c>
      <c r="F62" s="629" t="s">
        <v>2296</v>
      </c>
      <c r="G62" s="47" t="s">
        <v>260</v>
      </c>
    </row>
    <row r="63" spans="1:7" ht="15" customHeight="1">
      <c r="A63" s="630" t="s">
        <v>669</v>
      </c>
      <c r="B63" s="572">
        <v>1</v>
      </c>
      <c r="C63" s="142">
        <v>0</v>
      </c>
      <c r="D63" s="581">
        <v>22</v>
      </c>
      <c r="E63" s="174" t="s">
        <v>2295</v>
      </c>
      <c r="F63" s="629" t="s">
        <v>2296</v>
      </c>
      <c r="G63" s="47" t="s">
        <v>260</v>
      </c>
    </row>
    <row r="64" spans="1:7" ht="18.75" customHeight="1">
      <c r="A64" s="630" t="s">
        <v>401</v>
      </c>
      <c r="B64" s="572">
        <v>1</v>
      </c>
      <c r="C64" s="142">
        <v>0</v>
      </c>
      <c r="D64" s="581">
        <v>219</v>
      </c>
      <c r="E64" s="171" t="s">
        <v>2297</v>
      </c>
      <c r="F64" s="629" t="s">
        <v>2298</v>
      </c>
      <c r="G64" s="47" t="s">
        <v>260</v>
      </c>
    </row>
    <row r="65" spans="1:7" ht="15" customHeight="1">
      <c r="A65" s="630" t="s">
        <v>266</v>
      </c>
      <c r="B65" s="572">
        <v>0</v>
      </c>
      <c r="C65" s="142">
        <v>0</v>
      </c>
      <c r="D65" s="581">
        <v>0.15</v>
      </c>
      <c r="E65" s="171" t="s">
        <v>2299</v>
      </c>
      <c r="F65" s="629" t="s">
        <v>2300</v>
      </c>
      <c r="G65" s="47" t="s">
        <v>260</v>
      </c>
    </row>
    <row r="66" spans="1:7" ht="15" customHeight="1">
      <c r="A66" s="630" t="s">
        <v>1613</v>
      </c>
      <c r="B66" s="572">
        <v>2</v>
      </c>
      <c r="C66" s="142">
        <v>0</v>
      </c>
      <c r="D66" s="581">
        <v>2250</v>
      </c>
      <c r="E66" s="171" t="s">
        <v>2301</v>
      </c>
      <c r="F66" s="629" t="s">
        <v>2302</v>
      </c>
      <c r="G66" s="47" t="s">
        <v>260</v>
      </c>
    </row>
    <row r="67" spans="1:7" ht="15" customHeight="1">
      <c r="A67" s="620" t="s">
        <v>1223</v>
      </c>
      <c r="B67" s="572">
        <v>1</v>
      </c>
      <c r="C67" s="142">
        <v>0</v>
      </c>
      <c r="D67" s="581">
        <v>25000</v>
      </c>
      <c r="E67" s="171" t="s">
        <v>2303</v>
      </c>
      <c r="F67" s="629" t="s">
        <v>2304</v>
      </c>
      <c r="G67" s="47" t="s">
        <v>260</v>
      </c>
    </row>
    <row r="68" spans="1:7" ht="16.5" customHeight="1">
      <c r="A68" s="630" t="s">
        <v>416</v>
      </c>
      <c r="B68" s="572">
        <v>2</v>
      </c>
      <c r="C68" s="142">
        <v>0</v>
      </c>
      <c r="D68" s="581">
        <v>49</v>
      </c>
      <c r="E68" s="171" t="s">
        <v>2305</v>
      </c>
      <c r="F68" s="430" t="s">
        <v>2306</v>
      </c>
      <c r="G68" s="47" t="s">
        <v>260</v>
      </c>
    </row>
    <row r="69" spans="1:7" ht="14.25" customHeight="1">
      <c r="A69" s="620" t="s">
        <v>1137</v>
      </c>
      <c r="B69" s="572">
        <v>5</v>
      </c>
      <c r="C69" s="142">
        <v>0</v>
      </c>
      <c r="D69" s="581">
        <v>4612500</v>
      </c>
      <c r="E69" s="138" t="s">
        <v>2307</v>
      </c>
      <c r="F69" s="629" t="s">
        <v>2308</v>
      </c>
      <c r="G69" s="47" t="s">
        <v>260</v>
      </c>
    </row>
    <row r="70" spans="1:7" ht="15.75" customHeight="1">
      <c r="A70" s="630" t="s">
        <v>344</v>
      </c>
      <c r="B70" s="572">
        <v>1</v>
      </c>
      <c r="C70" s="142">
        <v>0</v>
      </c>
      <c r="D70" s="581">
        <v>1400</v>
      </c>
      <c r="E70" s="171" t="s">
        <v>2309</v>
      </c>
      <c r="F70" s="629" t="s">
        <v>2310</v>
      </c>
      <c r="G70" s="47" t="s">
        <v>260</v>
      </c>
    </row>
    <row r="71" spans="1:7" ht="16.5" customHeight="1">
      <c r="A71" s="630" t="s">
        <v>876</v>
      </c>
      <c r="B71" s="572">
        <v>0</v>
      </c>
      <c r="C71" s="142">
        <v>0</v>
      </c>
      <c r="D71" s="581">
        <v>4646</v>
      </c>
      <c r="E71" s="138" t="s">
        <v>2311</v>
      </c>
      <c r="F71" s="629" t="s">
        <v>194</v>
      </c>
      <c r="G71" s="47" t="s">
        <v>260</v>
      </c>
    </row>
    <row r="72" spans="1:7" ht="15" customHeight="1">
      <c r="A72" s="630" t="s">
        <v>1597</v>
      </c>
      <c r="B72" s="572">
        <v>0</v>
      </c>
      <c r="C72" s="142">
        <v>0</v>
      </c>
      <c r="D72" s="581">
        <v>100</v>
      </c>
      <c r="E72" s="202" t="s">
        <v>2312</v>
      </c>
      <c r="F72" s="629" t="s">
        <v>194</v>
      </c>
      <c r="G72" s="47" t="s">
        <v>260</v>
      </c>
    </row>
    <row r="73" spans="1:7" ht="16.5" customHeight="1">
      <c r="A73" s="630" t="s">
        <v>2313</v>
      </c>
      <c r="B73" s="572">
        <v>4</v>
      </c>
      <c r="C73" s="142">
        <v>0</v>
      </c>
      <c r="D73" s="581">
        <v>527337</v>
      </c>
      <c r="E73" s="138" t="s">
        <v>2275</v>
      </c>
      <c r="F73" s="629" t="s">
        <v>2314</v>
      </c>
      <c r="G73" s="47" t="s">
        <v>260</v>
      </c>
    </row>
    <row r="74" spans="1:7" ht="18.75" customHeight="1">
      <c r="A74" s="45" t="s">
        <v>519</v>
      </c>
      <c r="B74" s="572">
        <v>2.5</v>
      </c>
      <c r="C74" s="142">
        <v>1</v>
      </c>
      <c r="D74" s="556">
        <v>0.65</v>
      </c>
      <c r="E74" s="171" t="s">
        <v>2315</v>
      </c>
      <c r="F74" s="629" t="s">
        <v>2316</v>
      </c>
      <c r="G74" s="47" t="s">
        <v>260</v>
      </c>
    </row>
    <row r="75" spans="1:7" ht="18" customHeight="1">
      <c r="A75" s="45" t="s">
        <v>521</v>
      </c>
      <c r="B75" s="572">
        <v>2.5</v>
      </c>
      <c r="C75" s="142">
        <v>0</v>
      </c>
      <c r="D75" s="556">
        <v>0.65</v>
      </c>
      <c r="E75" s="171" t="s">
        <v>2315</v>
      </c>
      <c r="F75" s="629" t="s">
        <v>2316</v>
      </c>
      <c r="G75" s="47" t="s">
        <v>260</v>
      </c>
    </row>
    <row r="76" spans="1:7" ht="17.25" customHeight="1">
      <c r="A76" s="45" t="s">
        <v>520</v>
      </c>
      <c r="B76" s="572">
        <v>2.5</v>
      </c>
      <c r="C76" s="142">
        <v>0</v>
      </c>
      <c r="D76" s="556">
        <v>0.65</v>
      </c>
      <c r="E76" s="171" t="s">
        <v>2315</v>
      </c>
      <c r="F76" s="629" t="s">
        <v>2316</v>
      </c>
      <c r="G76" s="47" t="s">
        <v>260</v>
      </c>
    </row>
    <row r="77" spans="1:7">
      <c r="A77" s="45" t="s">
        <v>513</v>
      </c>
      <c r="B77" s="572">
        <v>2.5</v>
      </c>
      <c r="C77" s="142">
        <v>1</v>
      </c>
      <c r="D77" s="556" t="s">
        <v>194</v>
      </c>
      <c r="E77" s="629" t="s">
        <v>194</v>
      </c>
      <c r="F77" s="430" t="s">
        <v>194</v>
      </c>
      <c r="G77" s="47" t="s">
        <v>194</v>
      </c>
    </row>
    <row r="78" spans="1:7">
      <c r="A78" s="45" t="s">
        <v>514</v>
      </c>
      <c r="B78" s="572">
        <v>2.5</v>
      </c>
      <c r="C78" s="142">
        <v>1</v>
      </c>
      <c r="D78" s="556" t="s">
        <v>194</v>
      </c>
      <c r="E78" s="629" t="s">
        <v>194</v>
      </c>
      <c r="F78" s="430" t="s">
        <v>194</v>
      </c>
      <c r="G78" s="47" t="s">
        <v>194</v>
      </c>
    </row>
    <row r="79" spans="1:7">
      <c r="A79" s="45" t="s">
        <v>516</v>
      </c>
      <c r="B79" s="572">
        <v>2.5</v>
      </c>
      <c r="C79" s="142">
        <v>0</v>
      </c>
      <c r="D79" s="556" t="s">
        <v>194</v>
      </c>
      <c r="E79" s="629" t="s">
        <v>194</v>
      </c>
      <c r="F79" s="430" t="s">
        <v>194</v>
      </c>
      <c r="G79" s="47" t="s">
        <v>194</v>
      </c>
    </row>
    <row r="80" spans="1:7" ht="17.25" customHeight="1">
      <c r="A80" s="182" t="s">
        <v>647</v>
      </c>
      <c r="B80" s="572">
        <v>1</v>
      </c>
      <c r="C80" s="142">
        <v>0</v>
      </c>
      <c r="D80" s="584">
        <v>3</v>
      </c>
      <c r="E80" s="756" t="s">
        <v>2317</v>
      </c>
      <c r="F80" s="433" t="s">
        <v>2318</v>
      </c>
      <c r="G80" s="137" t="s">
        <v>260</v>
      </c>
    </row>
    <row r="81" spans="1:7" ht="15.75" customHeight="1">
      <c r="A81" s="630" t="s">
        <v>404</v>
      </c>
      <c r="B81" s="572">
        <v>1</v>
      </c>
      <c r="C81" s="142">
        <v>0</v>
      </c>
      <c r="D81" s="581">
        <v>8</v>
      </c>
      <c r="E81" s="171" t="s">
        <v>2270</v>
      </c>
      <c r="F81" s="629" t="s">
        <v>2271</v>
      </c>
      <c r="G81" s="47" t="s">
        <v>260</v>
      </c>
    </row>
    <row r="82" spans="1:7">
      <c r="A82" s="630" t="s">
        <v>977</v>
      </c>
      <c r="B82" s="572">
        <v>0</v>
      </c>
      <c r="C82" s="142">
        <v>0</v>
      </c>
      <c r="D82" s="556" t="s">
        <v>194</v>
      </c>
      <c r="E82" s="629" t="s">
        <v>194</v>
      </c>
      <c r="F82" s="430" t="s">
        <v>194</v>
      </c>
      <c r="G82" s="47" t="s">
        <v>194</v>
      </c>
    </row>
    <row r="83" spans="1:7" ht="15" customHeight="1">
      <c r="A83" s="630" t="s">
        <v>1876</v>
      </c>
      <c r="B83" s="572">
        <v>3</v>
      </c>
      <c r="C83" s="142">
        <v>0</v>
      </c>
      <c r="D83" s="581">
        <v>256000</v>
      </c>
      <c r="E83" s="171" t="s">
        <v>2319</v>
      </c>
      <c r="F83" s="629" t="s">
        <v>2320</v>
      </c>
      <c r="G83" s="47" t="s">
        <v>260</v>
      </c>
    </row>
    <row r="84" spans="1:7">
      <c r="A84" s="630" t="s">
        <v>675</v>
      </c>
      <c r="B84" s="572">
        <v>3</v>
      </c>
      <c r="C84" s="142">
        <v>0</v>
      </c>
      <c r="D84" s="581">
        <v>80000</v>
      </c>
      <c r="E84" s="197" t="s">
        <v>2321</v>
      </c>
      <c r="F84" s="430" t="s">
        <v>194</v>
      </c>
      <c r="G84" s="47" t="s">
        <v>260</v>
      </c>
    </row>
    <row r="85" spans="1:7" ht="15.75" customHeight="1">
      <c r="A85" s="630" t="s">
        <v>1194</v>
      </c>
      <c r="B85" s="572">
        <v>1</v>
      </c>
      <c r="C85" s="142">
        <v>0</v>
      </c>
      <c r="D85" s="581">
        <v>32000</v>
      </c>
      <c r="E85" s="171" t="s">
        <v>2322</v>
      </c>
      <c r="F85" s="430" t="s">
        <v>194</v>
      </c>
      <c r="G85" s="47" t="s">
        <v>260</v>
      </c>
    </row>
    <row r="86" spans="1:7" ht="20.25" customHeight="1">
      <c r="A86" s="630" t="s">
        <v>2323</v>
      </c>
      <c r="B86" s="572">
        <v>1</v>
      </c>
      <c r="C86" s="142">
        <v>0</v>
      </c>
      <c r="D86" s="581">
        <v>500</v>
      </c>
      <c r="E86" s="171" t="s">
        <v>2245</v>
      </c>
      <c r="F86" s="629" t="s">
        <v>2324</v>
      </c>
      <c r="G86" s="47" t="s">
        <v>260</v>
      </c>
    </row>
    <row r="87" spans="1:7" ht="17.25" customHeight="1">
      <c r="A87" s="620" t="s">
        <v>1969</v>
      </c>
      <c r="B87" s="572">
        <v>3</v>
      </c>
      <c r="C87" s="142">
        <v>0</v>
      </c>
      <c r="D87" s="581">
        <v>22000</v>
      </c>
      <c r="E87" s="138" t="s">
        <v>2325</v>
      </c>
      <c r="F87" s="629" t="s">
        <v>2326</v>
      </c>
      <c r="G87" s="47" t="s">
        <v>260</v>
      </c>
    </row>
    <row r="88" spans="1:7" ht="15.75" customHeight="1">
      <c r="A88" s="630" t="s">
        <v>239</v>
      </c>
      <c r="B88" s="572">
        <v>3</v>
      </c>
      <c r="C88" s="142">
        <v>0</v>
      </c>
      <c r="D88" s="581">
        <v>2000</v>
      </c>
      <c r="E88" s="621" t="s">
        <v>2327</v>
      </c>
      <c r="F88" s="631" t="s">
        <v>2328</v>
      </c>
      <c r="G88" s="47" t="s">
        <v>260</v>
      </c>
    </row>
    <row r="89" spans="1:7">
      <c r="A89" s="630" t="s">
        <v>1383</v>
      </c>
      <c r="B89" s="572">
        <v>3</v>
      </c>
      <c r="C89" s="142">
        <v>0</v>
      </c>
      <c r="D89" s="556">
        <v>35000</v>
      </c>
      <c r="E89" s="621" t="s">
        <v>2329</v>
      </c>
      <c r="F89" s="432" t="s">
        <v>2330</v>
      </c>
      <c r="G89" s="47" t="s">
        <v>260</v>
      </c>
    </row>
    <row r="90" spans="1:7" ht="14.25" customHeight="1">
      <c r="A90" s="630" t="s">
        <v>530</v>
      </c>
      <c r="B90" s="572">
        <v>2</v>
      </c>
      <c r="C90" s="142">
        <v>0</v>
      </c>
      <c r="D90" s="581">
        <v>5300</v>
      </c>
      <c r="E90" s="621" t="s">
        <v>2331</v>
      </c>
      <c r="F90" s="631" t="s">
        <v>2332</v>
      </c>
      <c r="G90" s="47" t="s">
        <v>260</v>
      </c>
    </row>
    <row r="91" spans="1:7" ht="15.75" customHeight="1">
      <c r="A91" s="620" t="s">
        <v>871</v>
      </c>
      <c r="B91" s="572">
        <v>1</v>
      </c>
      <c r="C91" s="142">
        <v>0</v>
      </c>
      <c r="D91" s="585">
        <v>8</v>
      </c>
      <c r="E91" s="203" t="s">
        <v>2333</v>
      </c>
      <c r="F91" s="617" t="s">
        <v>2334</v>
      </c>
      <c r="G91" s="47" t="s">
        <v>260</v>
      </c>
    </row>
    <row r="92" spans="1:7" ht="16.5" customHeight="1">
      <c r="A92" s="638" t="s">
        <v>496</v>
      </c>
      <c r="B92" s="572">
        <v>0</v>
      </c>
      <c r="C92" s="142">
        <v>0</v>
      </c>
      <c r="D92" s="587">
        <v>2</v>
      </c>
      <c r="E92" s="171" t="s">
        <v>2335</v>
      </c>
      <c r="F92" s="639" t="s">
        <v>2336</v>
      </c>
      <c r="G92" s="47" t="s">
        <v>260</v>
      </c>
    </row>
    <row r="93" spans="1:7" ht="15.75" customHeight="1">
      <c r="A93" s="630" t="s">
        <v>965</v>
      </c>
      <c r="B93" s="572">
        <v>0</v>
      </c>
      <c r="C93" s="142">
        <v>0</v>
      </c>
      <c r="D93" s="581">
        <v>1.29</v>
      </c>
      <c r="E93" s="171" t="s">
        <v>2337</v>
      </c>
      <c r="F93" s="629" t="s">
        <v>2338</v>
      </c>
      <c r="G93" s="47" t="s">
        <v>260</v>
      </c>
    </row>
    <row r="94" spans="1:7" ht="15.75" customHeight="1">
      <c r="A94" s="630" t="s">
        <v>284</v>
      </c>
      <c r="B94" s="572">
        <v>1</v>
      </c>
      <c r="C94" s="142">
        <v>0</v>
      </c>
      <c r="D94" s="581">
        <v>1.29</v>
      </c>
      <c r="E94" s="171" t="s">
        <v>2337</v>
      </c>
      <c r="F94" s="629" t="s">
        <v>2338</v>
      </c>
      <c r="G94" s="47" t="s">
        <v>260</v>
      </c>
    </row>
    <row r="95" spans="1:7" ht="14.25" customHeight="1">
      <c r="A95" s="630" t="s">
        <v>263</v>
      </c>
      <c r="B95" s="572">
        <v>0</v>
      </c>
      <c r="C95" s="142">
        <v>0</v>
      </c>
      <c r="D95" s="581">
        <v>4</v>
      </c>
      <c r="E95" s="171" t="s">
        <v>2339</v>
      </c>
      <c r="F95" s="629" t="s">
        <v>2340</v>
      </c>
      <c r="G95" s="47" t="s">
        <v>260</v>
      </c>
    </row>
    <row r="96" spans="1:7" ht="13.5" customHeight="1">
      <c r="A96" s="630" t="s">
        <v>968</v>
      </c>
      <c r="B96" s="572">
        <v>0</v>
      </c>
      <c r="C96" s="142">
        <v>0</v>
      </c>
      <c r="D96" s="581">
        <v>1.33</v>
      </c>
      <c r="E96" s="171" t="s">
        <v>2341</v>
      </c>
      <c r="F96" s="629" t="s">
        <v>2342</v>
      </c>
      <c r="G96" s="47" t="s">
        <v>260</v>
      </c>
    </row>
    <row r="97" spans="1:7" ht="13.5" customHeight="1">
      <c r="A97" s="630" t="s">
        <v>692</v>
      </c>
      <c r="B97" s="572">
        <v>1</v>
      </c>
      <c r="C97" s="142">
        <v>0</v>
      </c>
      <c r="D97" s="581">
        <v>1.33</v>
      </c>
      <c r="E97" s="171" t="s">
        <v>2341</v>
      </c>
      <c r="F97" s="629" t="s">
        <v>2342</v>
      </c>
      <c r="G97" s="47" t="s">
        <v>260</v>
      </c>
    </row>
    <row r="98" spans="1:7" ht="14.25" customHeight="1">
      <c r="A98" s="630" t="s">
        <v>261</v>
      </c>
      <c r="B98" s="572">
        <v>0</v>
      </c>
      <c r="C98" s="142">
        <v>0</v>
      </c>
      <c r="D98" s="581">
        <v>2.2999999999999998</v>
      </c>
      <c r="E98" s="629" t="s">
        <v>2343</v>
      </c>
      <c r="F98" s="629" t="s">
        <v>2344</v>
      </c>
      <c r="G98" s="47" t="s">
        <v>260</v>
      </c>
    </row>
    <row r="99" spans="1:7" ht="13.5" customHeight="1">
      <c r="A99" s="630" t="s">
        <v>269</v>
      </c>
      <c r="B99" s="572">
        <v>0</v>
      </c>
      <c r="C99" s="142">
        <v>0</v>
      </c>
      <c r="D99" s="581">
        <v>2</v>
      </c>
      <c r="E99" s="171" t="s">
        <v>2335</v>
      </c>
      <c r="F99" s="629" t="s">
        <v>2345</v>
      </c>
      <c r="G99" s="47" t="s">
        <v>260</v>
      </c>
    </row>
    <row r="100" spans="1:7" ht="18.75" customHeight="1">
      <c r="A100" s="630" t="s">
        <v>1790</v>
      </c>
      <c r="B100" s="572">
        <v>0</v>
      </c>
      <c r="C100" s="142">
        <v>0</v>
      </c>
      <c r="D100" s="581">
        <v>6000</v>
      </c>
      <c r="E100" s="171" t="s">
        <v>2346</v>
      </c>
      <c r="F100" s="629" t="s">
        <v>2347</v>
      </c>
      <c r="G100" s="47" t="s">
        <v>260</v>
      </c>
    </row>
    <row r="101" spans="1:7" ht="16.5" customHeight="1">
      <c r="A101" s="630" t="s">
        <v>779</v>
      </c>
      <c r="B101" s="572">
        <v>1</v>
      </c>
      <c r="C101" s="142">
        <v>0</v>
      </c>
      <c r="D101" s="556" t="s">
        <v>194</v>
      </c>
      <c r="E101" s="629" t="s">
        <v>194</v>
      </c>
      <c r="F101" s="629" t="s">
        <v>2348</v>
      </c>
      <c r="G101" s="47" t="s">
        <v>194</v>
      </c>
    </row>
    <row r="102" spans="1:7" ht="14.25" customHeight="1">
      <c r="A102" s="179" t="s">
        <v>252</v>
      </c>
      <c r="B102" s="572">
        <v>4</v>
      </c>
      <c r="C102" s="142">
        <v>0</v>
      </c>
      <c r="D102" s="581">
        <v>300000</v>
      </c>
      <c r="E102" s="138" t="s">
        <v>2349</v>
      </c>
      <c r="F102" s="629" t="s">
        <v>2350</v>
      </c>
      <c r="G102" s="47" t="s">
        <v>260</v>
      </c>
    </row>
    <row r="103" spans="1:7" ht="18" customHeight="1">
      <c r="A103" s="179" t="s">
        <v>1899</v>
      </c>
      <c r="B103" s="572">
        <v>4.5</v>
      </c>
      <c r="C103" s="142">
        <v>0</v>
      </c>
      <c r="D103" s="581">
        <v>240.38</v>
      </c>
      <c r="E103" s="171" t="s">
        <v>2351</v>
      </c>
      <c r="F103" s="629" t="s">
        <v>2352</v>
      </c>
      <c r="G103" s="47" t="s">
        <v>260</v>
      </c>
    </row>
    <row r="104" spans="1:7" ht="12" customHeight="1">
      <c r="A104" s="626" t="s">
        <v>323</v>
      </c>
      <c r="B104" s="572">
        <v>3</v>
      </c>
      <c r="C104" s="142">
        <v>0</v>
      </c>
      <c r="D104" s="583">
        <v>2000</v>
      </c>
      <c r="E104" s="621" t="s">
        <v>2327</v>
      </c>
      <c r="F104" s="631" t="s">
        <v>2353</v>
      </c>
      <c r="G104" s="47" t="s">
        <v>260</v>
      </c>
    </row>
    <row r="105" spans="1:7" ht="14.25" customHeight="1">
      <c r="A105" s="625" t="s">
        <v>1880</v>
      </c>
      <c r="B105" s="572">
        <v>2</v>
      </c>
      <c r="C105" s="142">
        <v>0</v>
      </c>
      <c r="D105" s="581">
        <v>5300</v>
      </c>
      <c r="E105" s="622" t="s">
        <v>2354</v>
      </c>
      <c r="F105" s="632" t="s">
        <v>2332</v>
      </c>
      <c r="G105" s="47" t="s">
        <v>260</v>
      </c>
    </row>
    <row r="106" spans="1:7">
      <c r="A106" s="183" t="s">
        <v>1471</v>
      </c>
      <c r="B106" s="572">
        <v>1</v>
      </c>
      <c r="C106" s="142">
        <v>0</v>
      </c>
      <c r="D106" s="581" t="s">
        <v>194</v>
      </c>
      <c r="E106" s="629" t="s">
        <v>194</v>
      </c>
      <c r="F106" s="629" t="s">
        <v>194</v>
      </c>
      <c r="G106" s="47" t="s">
        <v>194</v>
      </c>
    </row>
    <row r="107" spans="1:7" ht="14.25" customHeight="1">
      <c r="A107" s="630" t="s">
        <v>265</v>
      </c>
      <c r="B107" s="572">
        <v>0</v>
      </c>
      <c r="C107" s="142">
        <v>0</v>
      </c>
      <c r="D107" s="581">
        <v>0.25</v>
      </c>
      <c r="E107" s="171" t="s">
        <v>2355</v>
      </c>
      <c r="F107" s="629" t="s">
        <v>2356</v>
      </c>
      <c r="G107" s="47" t="s">
        <v>260</v>
      </c>
    </row>
    <row r="108" spans="1:7" ht="20.25" customHeight="1">
      <c r="A108" s="620" t="s">
        <v>1221</v>
      </c>
      <c r="B108" s="572">
        <v>1</v>
      </c>
      <c r="C108" s="142">
        <v>0</v>
      </c>
      <c r="D108" s="581">
        <v>1200</v>
      </c>
      <c r="E108" s="171" t="s">
        <v>2357</v>
      </c>
      <c r="F108" s="629" t="s">
        <v>2358</v>
      </c>
      <c r="G108" s="47" t="s">
        <v>260</v>
      </c>
    </row>
    <row r="109" spans="1:7" ht="15" customHeight="1">
      <c r="A109" s="630" t="s">
        <v>862</v>
      </c>
      <c r="B109" s="572">
        <v>2</v>
      </c>
      <c r="C109" s="142">
        <v>0</v>
      </c>
      <c r="D109" s="581">
        <v>3000</v>
      </c>
      <c r="E109" s="171" t="s">
        <v>2359</v>
      </c>
      <c r="F109" s="430" t="s">
        <v>194</v>
      </c>
      <c r="G109" s="47" t="s">
        <v>260</v>
      </c>
    </row>
    <row r="110" spans="1:7" ht="14.25" customHeight="1">
      <c r="A110" s="179" t="s">
        <v>1894</v>
      </c>
      <c r="B110" s="572">
        <v>5</v>
      </c>
      <c r="C110" s="142">
        <v>1</v>
      </c>
      <c r="D110" s="581">
        <v>17400000</v>
      </c>
      <c r="E110" s="138" t="s">
        <v>2360</v>
      </c>
      <c r="F110" s="629" t="s">
        <v>2361</v>
      </c>
      <c r="G110" s="47" t="s">
        <v>260</v>
      </c>
    </row>
    <row r="111" spans="1:7" ht="12.75" customHeight="1">
      <c r="A111" s="630" t="s">
        <v>873</v>
      </c>
      <c r="B111" s="572">
        <v>1</v>
      </c>
      <c r="C111" s="142">
        <v>0</v>
      </c>
      <c r="D111" s="581">
        <v>65</v>
      </c>
      <c r="E111" s="629" t="s">
        <v>2362</v>
      </c>
      <c r="F111" s="430" t="s">
        <v>194</v>
      </c>
      <c r="G111" s="47" t="s">
        <v>260</v>
      </c>
    </row>
    <row r="112" spans="1:7" ht="15.75" customHeight="1">
      <c r="A112" s="620" t="s">
        <v>648</v>
      </c>
      <c r="B112" s="572">
        <v>2.5</v>
      </c>
      <c r="C112" s="142">
        <v>0</v>
      </c>
      <c r="D112" s="585">
        <v>16.5</v>
      </c>
      <c r="E112" s="171" t="s">
        <v>2363</v>
      </c>
      <c r="F112" s="636" t="s">
        <v>2364</v>
      </c>
      <c r="G112" s="47" t="s">
        <v>260</v>
      </c>
    </row>
    <row r="113" spans="1:7" ht="17.25" customHeight="1">
      <c r="A113" s="630" t="s">
        <v>1779</v>
      </c>
      <c r="B113" s="572">
        <v>3.5</v>
      </c>
      <c r="C113" s="142">
        <v>0</v>
      </c>
      <c r="D113" s="556">
        <v>68500</v>
      </c>
      <c r="E113" s="629" t="s">
        <v>2365</v>
      </c>
      <c r="F113" s="430" t="s">
        <v>2366</v>
      </c>
      <c r="G113" s="47" t="s">
        <v>260</v>
      </c>
    </row>
    <row r="114" spans="1:7" ht="18" customHeight="1">
      <c r="A114" s="630" t="s">
        <v>1231</v>
      </c>
      <c r="B114" s="572">
        <v>3.5</v>
      </c>
      <c r="C114" s="142">
        <v>0</v>
      </c>
      <c r="D114" s="581">
        <v>250</v>
      </c>
      <c r="E114" s="171" t="s">
        <v>2367</v>
      </c>
      <c r="F114" s="629" t="s">
        <v>2368</v>
      </c>
      <c r="G114" s="47" t="s">
        <v>260</v>
      </c>
    </row>
    <row r="115" spans="1:7" ht="14.25" customHeight="1">
      <c r="A115" s="630" t="s">
        <v>1265</v>
      </c>
      <c r="B115" s="572">
        <v>0</v>
      </c>
      <c r="C115" s="142">
        <v>0</v>
      </c>
      <c r="D115" s="581">
        <v>0.25</v>
      </c>
      <c r="E115" s="171" t="s">
        <v>2355</v>
      </c>
      <c r="F115" s="629" t="s">
        <v>2369</v>
      </c>
      <c r="G115" s="47" t="s">
        <v>260</v>
      </c>
    </row>
    <row r="116" spans="1:7">
      <c r="A116" s="620" t="s">
        <v>1139</v>
      </c>
      <c r="B116" s="572">
        <v>1</v>
      </c>
      <c r="C116" s="142">
        <v>0</v>
      </c>
      <c r="D116" s="556" t="s">
        <v>194</v>
      </c>
      <c r="E116" s="629" t="s">
        <v>194</v>
      </c>
      <c r="F116" s="629" t="s">
        <v>194</v>
      </c>
      <c r="G116" s="47" t="s">
        <v>194</v>
      </c>
    </row>
    <row r="117" spans="1:7">
      <c r="A117" s="182" t="s">
        <v>412</v>
      </c>
      <c r="B117" s="572">
        <v>1</v>
      </c>
      <c r="C117" s="142">
        <v>0</v>
      </c>
      <c r="D117" s="588">
        <v>7600</v>
      </c>
      <c r="E117" s="201" t="s">
        <v>2370</v>
      </c>
      <c r="F117" s="433" t="s">
        <v>194</v>
      </c>
      <c r="G117" s="47" t="s">
        <v>260</v>
      </c>
    </row>
    <row r="118" spans="1:7" ht="15" customHeight="1">
      <c r="A118" s="630" t="s">
        <v>1193</v>
      </c>
      <c r="B118" s="572">
        <v>3</v>
      </c>
      <c r="C118" s="142">
        <v>0</v>
      </c>
      <c r="D118" s="581">
        <v>33000</v>
      </c>
      <c r="E118" s="171" t="s">
        <v>2371</v>
      </c>
      <c r="F118" s="629" t="s">
        <v>2372</v>
      </c>
      <c r="G118" s="47" t="s">
        <v>260</v>
      </c>
    </row>
    <row r="119" spans="1:7" ht="15" customHeight="1">
      <c r="A119" s="179" t="s">
        <v>1979</v>
      </c>
      <c r="B119" s="572">
        <v>2</v>
      </c>
      <c r="C119" s="142">
        <v>0</v>
      </c>
      <c r="D119" s="581">
        <v>40000</v>
      </c>
      <c r="E119" s="138" t="s">
        <v>2373</v>
      </c>
      <c r="F119" s="629" t="s">
        <v>2374</v>
      </c>
      <c r="G119" s="47" t="s">
        <v>260</v>
      </c>
    </row>
    <row r="120" spans="1:7" ht="15" customHeight="1">
      <c r="A120" s="630" t="s">
        <v>2375</v>
      </c>
      <c r="B120" s="572">
        <v>0</v>
      </c>
      <c r="C120" s="142">
        <v>0</v>
      </c>
      <c r="D120" s="589">
        <v>0.15</v>
      </c>
      <c r="E120" s="756" t="s">
        <v>2299</v>
      </c>
      <c r="F120" s="629" t="s">
        <v>2376</v>
      </c>
      <c r="G120" s="47" t="s">
        <v>260</v>
      </c>
    </row>
    <row r="121" spans="1:7">
      <c r="A121" s="184" t="s">
        <v>1897</v>
      </c>
      <c r="B121" s="572">
        <v>1</v>
      </c>
      <c r="C121" s="142">
        <v>0</v>
      </c>
      <c r="D121" s="581" t="s">
        <v>194</v>
      </c>
      <c r="E121" s="629" t="s">
        <v>194</v>
      </c>
      <c r="F121" s="629" t="s">
        <v>194</v>
      </c>
      <c r="G121" s="47" t="s">
        <v>194</v>
      </c>
    </row>
    <row r="122" spans="1:7">
      <c r="A122" s="179" t="s">
        <v>687</v>
      </c>
      <c r="B122" s="572">
        <v>1</v>
      </c>
      <c r="C122" s="142">
        <v>0</v>
      </c>
      <c r="D122" s="581" t="s">
        <v>194</v>
      </c>
      <c r="E122" s="629" t="s">
        <v>194</v>
      </c>
      <c r="F122" s="629" t="s">
        <v>194</v>
      </c>
      <c r="G122" s="47" t="s">
        <v>194</v>
      </c>
    </row>
    <row r="123" spans="1:7" ht="18.75" customHeight="1">
      <c r="A123" s="620" t="s">
        <v>1484</v>
      </c>
      <c r="B123" s="572">
        <v>0</v>
      </c>
      <c r="C123" s="142">
        <v>0</v>
      </c>
      <c r="D123" s="556">
        <v>22</v>
      </c>
      <c r="E123" s="171" t="s">
        <v>2377</v>
      </c>
      <c r="F123" s="629" t="s">
        <v>2378</v>
      </c>
      <c r="G123" s="47" t="s">
        <v>260</v>
      </c>
    </row>
    <row r="124" spans="1:7" ht="21" customHeight="1">
      <c r="A124" s="620" t="s">
        <v>1480</v>
      </c>
      <c r="B124" s="572">
        <v>0</v>
      </c>
      <c r="C124" s="142">
        <v>0</v>
      </c>
      <c r="D124" s="556">
        <f>6.09*'Currency Conversion'!C4</f>
        <v>6.4310400000000003</v>
      </c>
      <c r="E124" s="171" t="s">
        <v>2379</v>
      </c>
      <c r="F124" s="629" t="s">
        <v>2380</v>
      </c>
      <c r="G124" s="47" t="s">
        <v>260</v>
      </c>
    </row>
    <row r="125" spans="1:7">
      <c r="A125" s="620" t="s">
        <v>1483</v>
      </c>
      <c r="B125" s="572">
        <v>0</v>
      </c>
      <c r="C125" s="142">
        <v>0</v>
      </c>
      <c r="D125" s="556" t="s">
        <v>194</v>
      </c>
      <c r="E125" s="629" t="s">
        <v>194</v>
      </c>
      <c r="F125" s="629" t="s">
        <v>194</v>
      </c>
      <c r="G125" s="47" t="s">
        <v>194</v>
      </c>
    </row>
    <row r="126" spans="1:7" ht="18.75" customHeight="1">
      <c r="A126" s="630" t="s">
        <v>2381</v>
      </c>
      <c r="B126" s="572">
        <v>0</v>
      </c>
      <c r="C126" s="142">
        <v>0</v>
      </c>
      <c r="D126" s="556">
        <v>15</v>
      </c>
      <c r="E126" s="171" t="s">
        <v>2382</v>
      </c>
      <c r="F126" s="629" t="s">
        <v>2383</v>
      </c>
      <c r="G126" s="47" t="s">
        <v>260</v>
      </c>
    </row>
    <row r="127" spans="1:7" ht="18" customHeight="1">
      <c r="A127" s="630" t="s">
        <v>2384</v>
      </c>
      <c r="B127" s="572">
        <v>0</v>
      </c>
      <c r="C127" s="142">
        <v>0</v>
      </c>
      <c r="D127" s="556">
        <v>14.5</v>
      </c>
      <c r="E127" s="171" t="s">
        <v>2385</v>
      </c>
      <c r="F127" s="629" t="s">
        <v>2386</v>
      </c>
      <c r="G127" s="47" t="s">
        <v>260</v>
      </c>
    </row>
    <row r="128" spans="1:7">
      <c r="A128" s="630" t="s">
        <v>2387</v>
      </c>
      <c r="B128" s="572">
        <v>0</v>
      </c>
      <c r="C128" s="142">
        <v>0</v>
      </c>
      <c r="D128" s="556" t="s">
        <v>194</v>
      </c>
      <c r="E128" s="629" t="s">
        <v>194</v>
      </c>
      <c r="F128" s="629" t="s">
        <v>194</v>
      </c>
      <c r="G128" s="47" t="s">
        <v>194</v>
      </c>
    </row>
    <row r="129" spans="1:7" ht="19.5" customHeight="1">
      <c r="A129" s="638" t="s">
        <v>1554</v>
      </c>
      <c r="B129" s="572">
        <v>0</v>
      </c>
      <c r="C129" s="142">
        <v>0</v>
      </c>
      <c r="D129" s="556">
        <v>16</v>
      </c>
      <c r="E129" s="171" t="s">
        <v>2388</v>
      </c>
      <c r="F129" s="629" t="s">
        <v>2389</v>
      </c>
      <c r="G129" s="47" t="s">
        <v>260</v>
      </c>
    </row>
    <row r="130" spans="1:7" ht="17.25" customHeight="1">
      <c r="A130" s="638" t="s">
        <v>1555</v>
      </c>
      <c r="B130" s="572">
        <v>0</v>
      </c>
      <c r="C130" s="142">
        <v>0</v>
      </c>
      <c r="D130" s="556">
        <v>13.49</v>
      </c>
      <c r="E130" s="171" t="s">
        <v>2390</v>
      </c>
      <c r="F130" s="629" t="s">
        <v>2391</v>
      </c>
      <c r="G130" s="47" t="s">
        <v>260</v>
      </c>
    </row>
    <row r="131" spans="1:7" ht="16.5" customHeight="1">
      <c r="A131" s="638" t="s">
        <v>1553</v>
      </c>
      <c r="B131" s="572">
        <v>0</v>
      </c>
      <c r="C131" s="142">
        <v>0</v>
      </c>
      <c r="D131" s="556">
        <v>50</v>
      </c>
      <c r="E131" s="171" t="s">
        <v>2392</v>
      </c>
      <c r="F131" s="629" t="s">
        <v>2393</v>
      </c>
      <c r="G131" s="47" t="s">
        <v>194</v>
      </c>
    </row>
    <row r="132" spans="1:7" ht="16.5" customHeight="1">
      <c r="A132" s="638" t="s">
        <v>497</v>
      </c>
      <c r="B132" s="572">
        <v>0</v>
      </c>
      <c r="C132" s="142">
        <v>0</v>
      </c>
      <c r="D132" s="587">
        <v>20</v>
      </c>
      <c r="E132" s="639" t="s">
        <v>2394</v>
      </c>
      <c r="F132" s="176" t="s">
        <v>2395</v>
      </c>
      <c r="G132" s="47" t="s">
        <v>260</v>
      </c>
    </row>
    <row r="133" spans="1:7" ht="14.25" customHeight="1">
      <c r="A133" s="630" t="s">
        <v>860</v>
      </c>
      <c r="B133" s="572">
        <v>3</v>
      </c>
      <c r="C133" s="142">
        <v>0</v>
      </c>
      <c r="D133" s="581">
        <v>10000</v>
      </c>
      <c r="E133" s="171" t="s">
        <v>2367</v>
      </c>
      <c r="F133" s="430" t="s">
        <v>194</v>
      </c>
      <c r="G133" s="47" t="s">
        <v>260</v>
      </c>
    </row>
    <row r="134" spans="1:7" ht="15" customHeight="1">
      <c r="A134" s="630" t="s">
        <v>975</v>
      </c>
      <c r="B134" s="572">
        <v>0</v>
      </c>
      <c r="C134" s="142">
        <v>0</v>
      </c>
      <c r="D134" s="581">
        <v>4000</v>
      </c>
      <c r="E134" s="171" t="s">
        <v>2396</v>
      </c>
      <c r="F134" s="430" t="s">
        <v>194</v>
      </c>
      <c r="G134" s="47" t="s">
        <v>260</v>
      </c>
    </row>
    <row r="135" spans="1:7" ht="18" customHeight="1">
      <c r="A135" s="179" t="s">
        <v>1906</v>
      </c>
      <c r="B135" s="574">
        <v>5</v>
      </c>
      <c r="C135" s="557">
        <v>0</v>
      </c>
      <c r="D135" s="581">
        <v>6000</v>
      </c>
      <c r="E135" s="171" t="s">
        <v>2397</v>
      </c>
      <c r="F135" s="629" t="s">
        <v>2398</v>
      </c>
      <c r="G135" s="47" t="s">
        <v>260</v>
      </c>
    </row>
    <row r="136" spans="1:7">
      <c r="A136" s="630" t="s">
        <v>2399</v>
      </c>
      <c r="B136" s="572">
        <v>0</v>
      </c>
      <c r="C136" s="142">
        <v>0</v>
      </c>
      <c r="D136" s="556" t="s">
        <v>194</v>
      </c>
      <c r="E136" s="629" t="s">
        <v>194</v>
      </c>
      <c r="F136" s="629" t="s">
        <v>194</v>
      </c>
      <c r="G136" s="47" t="s">
        <v>194</v>
      </c>
    </row>
    <row r="137" spans="1:7" ht="13.5" customHeight="1">
      <c r="A137" s="630" t="s">
        <v>1377</v>
      </c>
      <c r="B137" s="574">
        <v>3</v>
      </c>
      <c r="C137" s="557">
        <v>0</v>
      </c>
      <c r="D137" s="581">
        <v>155476</v>
      </c>
      <c r="E137" s="171" t="s">
        <v>2400</v>
      </c>
      <c r="F137" s="629" t="s">
        <v>2401</v>
      </c>
      <c r="G137" s="47" t="s">
        <v>260</v>
      </c>
    </row>
    <row r="138" spans="1:7" ht="15.75" customHeight="1">
      <c r="A138" s="630" t="s">
        <v>1879</v>
      </c>
      <c r="B138" s="572">
        <v>2</v>
      </c>
      <c r="C138" s="142">
        <v>0</v>
      </c>
      <c r="D138" s="581">
        <v>800</v>
      </c>
      <c r="E138" s="171" t="s">
        <v>2402</v>
      </c>
      <c r="F138" s="629" t="s">
        <v>2403</v>
      </c>
      <c r="G138" s="47" t="s">
        <v>260</v>
      </c>
    </row>
    <row r="139" spans="1:7" ht="14.25" customHeight="1">
      <c r="A139" s="630" t="s">
        <v>267</v>
      </c>
      <c r="B139" s="572">
        <v>0</v>
      </c>
      <c r="C139" s="142">
        <v>0</v>
      </c>
      <c r="D139" s="556" t="s">
        <v>194</v>
      </c>
      <c r="E139" s="171" t="s">
        <v>2404</v>
      </c>
      <c r="F139" s="430" t="s">
        <v>2405</v>
      </c>
      <c r="G139" s="47" t="s">
        <v>194</v>
      </c>
    </row>
    <row r="140" spans="1:7">
      <c r="A140" s="620" t="s">
        <v>1138</v>
      </c>
      <c r="B140" s="572">
        <v>1</v>
      </c>
      <c r="C140" s="142">
        <v>0</v>
      </c>
      <c r="D140" s="556" t="s">
        <v>194</v>
      </c>
      <c r="E140" s="202" t="s">
        <v>194</v>
      </c>
      <c r="F140" s="629" t="s">
        <v>194</v>
      </c>
      <c r="G140" s="47" t="s">
        <v>194</v>
      </c>
    </row>
    <row r="141" spans="1:7" ht="20.25" customHeight="1">
      <c r="A141" s="179" t="s">
        <v>1973</v>
      </c>
      <c r="B141" s="572">
        <v>5</v>
      </c>
      <c r="C141" s="142">
        <v>0</v>
      </c>
      <c r="D141" s="581">
        <v>250000</v>
      </c>
      <c r="E141" s="138" t="s">
        <v>2406</v>
      </c>
      <c r="F141" s="629" t="s">
        <v>2407</v>
      </c>
      <c r="G141" s="47" t="s">
        <v>260</v>
      </c>
    </row>
    <row r="142" spans="1:7" ht="17.25" customHeight="1">
      <c r="A142" s="630" t="s">
        <v>778</v>
      </c>
      <c r="B142" s="572">
        <v>0</v>
      </c>
      <c r="C142" s="142">
        <v>0</v>
      </c>
      <c r="D142" s="581">
        <v>400000</v>
      </c>
      <c r="E142" s="171" t="s">
        <v>2289</v>
      </c>
      <c r="F142" s="629" t="s">
        <v>2408</v>
      </c>
      <c r="G142" s="47" t="s">
        <v>260</v>
      </c>
    </row>
    <row r="143" spans="1:7" ht="14.25" customHeight="1">
      <c r="A143" s="630" t="s">
        <v>1623</v>
      </c>
      <c r="B143" s="572">
        <v>0</v>
      </c>
      <c r="C143" s="142">
        <v>0</v>
      </c>
      <c r="D143" s="581">
        <v>644000</v>
      </c>
      <c r="E143" s="629" t="s">
        <v>2409</v>
      </c>
      <c r="F143" s="430"/>
      <c r="G143" s="47" t="s">
        <v>260</v>
      </c>
    </row>
    <row r="144" spans="1:7" ht="15" customHeight="1">
      <c r="A144" s="630" t="s">
        <v>1581</v>
      </c>
      <c r="B144" s="572">
        <v>2</v>
      </c>
      <c r="C144" s="142">
        <v>0</v>
      </c>
      <c r="D144" s="581">
        <v>700</v>
      </c>
      <c r="E144" s="171" t="s">
        <v>2410</v>
      </c>
      <c r="F144" s="629" t="s">
        <v>2411</v>
      </c>
      <c r="G144" s="47" t="s">
        <v>260</v>
      </c>
    </row>
    <row r="145" spans="1:7" ht="15.75" customHeight="1">
      <c r="A145" s="630" t="s">
        <v>864</v>
      </c>
      <c r="B145" s="572">
        <v>2</v>
      </c>
      <c r="C145" s="142">
        <v>0</v>
      </c>
      <c r="D145" s="581">
        <v>0.85</v>
      </c>
      <c r="E145" s="171" t="s">
        <v>2412</v>
      </c>
      <c r="F145" s="629" t="s">
        <v>2413</v>
      </c>
      <c r="G145" s="47" t="s">
        <v>260</v>
      </c>
    </row>
    <row r="146" spans="1:7" ht="14.25" customHeight="1">
      <c r="A146" s="630" t="s">
        <v>861</v>
      </c>
      <c r="B146" s="572">
        <v>3.5</v>
      </c>
      <c r="C146" s="142">
        <v>0</v>
      </c>
      <c r="D146" s="581">
        <v>250</v>
      </c>
      <c r="E146" s="171" t="s">
        <v>2367</v>
      </c>
      <c r="F146" s="629" t="s">
        <v>2368</v>
      </c>
      <c r="G146" s="47" t="s">
        <v>260</v>
      </c>
    </row>
    <row r="147" spans="1:7" ht="16.5" customHeight="1">
      <c r="A147" s="630" t="s">
        <v>406</v>
      </c>
      <c r="B147" s="572">
        <v>3.5</v>
      </c>
      <c r="C147" s="142">
        <v>0</v>
      </c>
      <c r="D147" s="581">
        <v>3000</v>
      </c>
      <c r="E147" s="171" t="s">
        <v>2260</v>
      </c>
      <c r="F147" s="629" t="s">
        <v>2414</v>
      </c>
      <c r="G147" s="47" t="s">
        <v>260</v>
      </c>
    </row>
    <row r="148" spans="1:7">
      <c r="A148" s="182" t="s">
        <v>1390</v>
      </c>
      <c r="B148" s="572">
        <v>2.5</v>
      </c>
      <c r="C148" s="142">
        <v>0</v>
      </c>
      <c r="D148" s="584">
        <v>329</v>
      </c>
      <c r="E148" s="201" t="s">
        <v>2415</v>
      </c>
      <c r="F148" s="433" t="s">
        <v>2416</v>
      </c>
      <c r="G148" s="47" t="s">
        <v>260</v>
      </c>
    </row>
    <row r="149" spans="1:7" ht="12.75" customHeight="1">
      <c r="A149" s="630" t="s">
        <v>863</v>
      </c>
      <c r="B149" s="572">
        <v>2.5</v>
      </c>
      <c r="C149" s="142">
        <v>0</v>
      </c>
      <c r="D149" s="581" t="s">
        <v>2417</v>
      </c>
      <c r="E149" s="171" t="s">
        <v>2315</v>
      </c>
      <c r="F149" s="629" t="s">
        <v>2418</v>
      </c>
      <c r="G149" s="47" t="s">
        <v>260</v>
      </c>
    </row>
    <row r="150" spans="1:7" ht="14.25" customHeight="1">
      <c r="A150" s="618" t="s">
        <v>1226</v>
      </c>
      <c r="B150" s="572">
        <v>2.5</v>
      </c>
      <c r="C150" s="142">
        <v>0</v>
      </c>
      <c r="D150" s="556">
        <v>0.65</v>
      </c>
      <c r="E150" s="171" t="s">
        <v>2315</v>
      </c>
      <c r="F150" s="629" t="s">
        <v>2419</v>
      </c>
      <c r="G150" s="47" t="s">
        <v>260</v>
      </c>
    </row>
    <row r="151" spans="1:7" ht="16.5" customHeight="1">
      <c r="A151" s="620" t="s">
        <v>2420</v>
      </c>
      <c r="B151" s="572">
        <v>3.5</v>
      </c>
      <c r="C151" s="142">
        <v>0</v>
      </c>
      <c r="D151" s="585">
        <v>202</v>
      </c>
      <c r="E151" s="171" t="s">
        <v>2367</v>
      </c>
      <c r="F151" s="636" t="s">
        <v>2421</v>
      </c>
      <c r="G151" s="47" t="s">
        <v>260</v>
      </c>
    </row>
    <row r="152" spans="1:7" ht="15" customHeight="1">
      <c r="A152" s="630" t="s">
        <v>1882</v>
      </c>
      <c r="B152" s="572">
        <v>2.5</v>
      </c>
      <c r="C152" s="142">
        <v>0</v>
      </c>
      <c r="D152" s="581">
        <v>5</v>
      </c>
      <c r="E152" s="629" t="s">
        <v>194</v>
      </c>
      <c r="F152" s="629" t="s">
        <v>2422</v>
      </c>
      <c r="G152" s="47" t="s">
        <v>260</v>
      </c>
    </row>
    <row r="153" spans="1:7" ht="12.75" customHeight="1">
      <c r="A153" s="630" t="s">
        <v>1533</v>
      </c>
      <c r="B153" s="572">
        <v>4</v>
      </c>
      <c r="C153" s="142">
        <v>1</v>
      </c>
      <c r="D153" s="581">
        <v>68000000</v>
      </c>
      <c r="E153" s="171" t="s">
        <v>1536</v>
      </c>
      <c r="F153" s="430" t="s">
        <v>194</v>
      </c>
      <c r="G153" s="47" t="s">
        <v>260</v>
      </c>
    </row>
    <row r="154" spans="1:7" ht="15.75" customHeight="1">
      <c r="A154" s="630" t="s">
        <v>2423</v>
      </c>
      <c r="B154" s="572">
        <v>4.5</v>
      </c>
      <c r="C154" s="142">
        <v>1</v>
      </c>
      <c r="D154" s="581">
        <v>1000000</v>
      </c>
      <c r="E154" s="171" t="s">
        <v>2424</v>
      </c>
      <c r="F154" s="430" t="s">
        <v>194</v>
      </c>
      <c r="G154" s="47" t="s">
        <v>260</v>
      </c>
    </row>
    <row r="155" spans="1:7" ht="13.5" customHeight="1">
      <c r="A155" s="630" t="s">
        <v>264</v>
      </c>
      <c r="B155" s="572">
        <v>0</v>
      </c>
      <c r="C155" s="142">
        <v>0</v>
      </c>
      <c r="D155" s="581">
        <v>10</v>
      </c>
      <c r="E155" s="171" t="s">
        <v>2425</v>
      </c>
      <c r="F155" s="629" t="s">
        <v>2426</v>
      </c>
      <c r="G155" s="47" t="s">
        <v>260</v>
      </c>
    </row>
    <row r="156" spans="1:7" ht="15.75" customHeight="1">
      <c r="A156" s="630" t="s">
        <v>1881</v>
      </c>
      <c r="B156" s="572">
        <v>2</v>
      </c>
      <c r="C156" s="142">
        <v>0</v>
      </c>
      <c r="D156" s="581">
        <v>1100</v>
      </c>
      <c r="E156" s="171" t="s">
        <v>2427</v>
      </c>
      <c r="F156" s="629" t="s">
        <v>2428</v>
      </c>
      <c r="G156" s="47" t="s">
        <v>260</v>
      </c>
    </row>
    <row r="157" spans="1:7" ht="14.25" customHeight="1">
      <c r="A157" s="634" t="s">
        <v>525</v>
      </c>
      <c r="B157" s="572">
        <v>3</v>
      </c>
      <c r="C157" s="142">
        <v>0</v>
      </c>
      <c r="D157" s="581">
        <v>119000</v>
      </c>
      <c r="E157" s="171" t="s">
        <v>2215</v>
      </c>
      <c r="F157" s="430" t="s">
        <v>2429</v>
      </c>
      <c r="G157" s="47" t="s">
        <v>260</v>
      </c>
    </row>
    <row r="158" spans="1:7" ht="15.75" customHeight="1">
      <c r="A158" s="630" t="s">
        <v>744</v>
      </c>
      <c r="B158" s="572">
        <v>3</v>
      </c>
      <c r="C158" s="142">
        <v>0</v>
      </c>
      <c r="D158" s="581">
        <v>2000</v>
      </c>
      <c r="E158" s="171" t="s">
        <v>2327</v>
      </c>
      <c r="F158" s="629" t="s">
        <v>2430</v>
      </c>
      <c r="G158" s="47" t="s">
        <v>260</v>
      </c>
    </row>
    <row r="159" spans="1:7" ht="18.75" customHeight="1">
      <c r="A159" s="767" t="s">
        <v>268</v>
      </c>
      <c r="B159" s="572">
        <v>0</v>
      </c>
      <c r="C159" s="142">
        <v>0</v>
      </c>
      <c r="D159" s="581">
        <v>75</v>
      </c>
      <c r="E159" s="629" t="s">
        <v>2431</v>
      </c>
      <c r="F159" s="430"/>
      <c r="G159" s="47" t="s">
        <v>260</v>
      </c>
    </row>
    <row r="160" spans="1:7" ht="18" customHeight="1">
      <c r="A160" s="180" t="s">
        <v>1977</v>
      </c>
      <c r="B160" s="572">
        <v>2.5</v>
      </c>
      <c r="C160" s="142">
        <v>0</v>
      </c>
      <c r="D160" s="581" t="s">
        <v>194</v>
      </c>
      <c r="E160" s="202" t="s">
        <v>194</v>
      </c>
      <c r="F160" s="629" t="s">
        <v>194</v>
      </c>
      <c r="G160" s="47" t="s">
        <v>194</v>
      </c>
    </row>
    <row r="161" spans="1:7" ht="15" customHeight="1">
      <c r="A161" s="775" t="s">
        <v>1225</v>
      </c>
      <c r="B161" s="572">
        <v>2</v>
      </c>
      <c r="C161" s="142">
        <v>0</v>
      </c>
      <c r="D161" s="581">
        <v>8900</v>
      </c>
      <c r="E161" s="138" t="s">
        <v>2432</v>
      </c>
      <c r="F161" s="629" t="s">
        <v>2433</v>
      </c>
      <c r="G161" s="47" t="s">
        <v>260</v>
      </c>
    </row>
    <row r="162" spans="1:7" ht="13.5" customHeight="1">
      <c r="A162" s="767" t="s">
        <v>948</v>
      </c>
      <c r="B162" s="572">
        <v>3</v>
      </c>
      <c r="C162" s="142">
        <v>1</v>
      </c>
      <c r="D162" s="581">
        <v>150</v>
      </c>
      <c r="E162" s="171" t="s">
        <v>2434</v>
      </c>
      <c r="F162" s="629" t="s">
        <v>2435</v>
      </c>
      <c r="G162" s="47" t="s">
        <v>260</v>
      </c>
    </row>
    <row r="163" spans="1:7">
      <c r="A163" s="767" t="s">
        <v>1915</v>
      </c>
      <c r="B163" s="572">
        <v>1</v>
      </c>
      <c r="C163" s="142">
        <v>0</v>
      </c>
      <c r="D163" s="581" t="s">
        <v>194</v>
      </c>
      <c r="E163" s="202" t="s">
        <v>194</v>
      </c>
      <c r="F163" s="629" t="s">
        <v>194</v>
      </c>
      <c r="G163" s="47" t="s">
        <v>194</v>
      </c>
    </row>
    <row r="164" spans="1:7">
      <c r="A164" s="775" t="s">
        <v>2436</v>
      </c>
      <c r="B164" s="572">
        <v>1</v>
      </c>
      <c r="C164" s="142">
        <v>0</v>
      </c>
      <c r="D164" s="556" t="s">
        <v>194</v>
      </c>
      <c r="E164" s="202" t="s">
        <v>194</v>
      </c>
      <c r="F164" s="629" t="s">
        <v>194</v>
      </c>
      <c r="G164" s="47" t="s">
        <v>194</v>
      </c>
    </row>
    <row r="165" spans="1:7" ht="20.25" customHeight="1">
      <c r="A165" s="767" t="s">
        <v>1768</v>
      </c>
      <c r="B165" s="572">
        <v>3</v>
      </c>
      <c r="C165" s="142">
        <v>0</v>
      </c>
      <c r="D165" s="581">
        <v>137238</v>
      </c>
      <c r="E165" s="138" t="s">
        <v>2437</v>
      </c>
      <c r="F165" s="629" t="s">
        <v>2438</v>
      </c>
      <c r="G165" s="47" t="s">
        <v>260</v>
      </c>
    </row>
    <row r="166" spans="1:7" ht="18.75" customHeight="1">
      <c r="A166" s="767" t="s">
        <v>2439</v>
      </c>
      <c r="B166" s="572">
        <v>0</v>
      </c>
      <c r="C166" s="142">
        <v>0</v>
      </c>
      <c r="D166" s="581">
        <v>3.5000000000000003E-2</v>
      </c>
      <c r="E166" s="138" t="s">
        <v>2440</v>
      </c>
      <c r="F166" s="629" t="s">
        <v>2441</v>
      </c>
      <c r="G166" s="624" t="s">
        <v>260</v>
      </c>
    </row>
    <row r="167" spans="1:7" ht="13.5" customHeight="1">
      <c r="A167" s="767" t="s">
        <v>644</v>
      </c>
      <c r="B167" s="572">
        <v>3</v>
      </c>
      <c r="C167" s="142">
        <v>0</v>
      </c>
      <c r="D167" s="581">
        <v>119000</v>
      </c>
      <c r="E167" s="171" t="s">
        <v>2215</v>
      </c>
      <c r="F167" s="430" t="s">
        <v>194</v>
      </c>
      <c r="G167" s="47" t="s">
        <v>260</v>
      </c>
    </row>
    <row r="168" spans="1:7" ht="12.75" customHeight="1">
      <c r="A168" s="767" t="s">
        <v>961</v>
      </c>
      <c r="B168" s="575">
        <v>3.5</v>
      </c>
      <c r="C168" s="761">
        <v>0</v>
      </c>
      <c r="D168" s="581">
        <v>119000</v>
      </c>
      <c r="E168" s="171" t="s">
        <v>2215</v>
      </c>
      <c r="F168" s="629" t="s">
        <v>2442</v>
      </c>
      <c r="G168" s="47" t="s">
        <v>260</v>
      </c>
    </row>
    <row r="169" spans="1:7" ht="14.25" customHeight="1">
      <c r="A169" s="767" t="s">
        <v>859</v>
      </c>
      <c r="B169" s="572">
        <v>3.5</v>
      </c>
      <c r="C169" s="142">
        <v>1</v>
      </c>
      <c r="D169" s="581">
        <v>22700</v>
      </c>
      <c r="E169" s="171" t="s">
        <v>2443</v>
      </c>
      <c r="F169" s="629" t="s">
        <v>2444</v>
      </c>
      <c r="G169" s="47" t="s">
        <v>260</v>
      </c>
    </row>
    <row r="170" spans="1:7" ht="13.5" customHeight="1">
      <c r="A170" s="767" t="s">
        <v>739</v>
      </c>
      <c r="B170" s="572">
        <v>1</v>
      </c>
      <c r="C170" s="142">
        <v>0</v>
      </c>
      <c r="D170" s="581">
        <v>100</v>
      </c>
      <c r="E170" s="171" t="s">
        <v>2445</v>
      </c>
      <c r="F170" s="629" t="s">
        <v>2446</v>
      </c>
      <c r="G170" s="47" t="s">
        <v>260</v>
      </c>
    </row>
    <row r="171" spans="1:7" ht="18" customHeight="1">
      <c r="A171" s="769" t="s">
        <v>532</v>
      </c>
      <c r="B171" s="572">
        <v>2</v>
      </c>
      <c r="C171" s="142">
        <v>0</v>
      </c>
      <c r="D171" s="581">
        <v>4087</v>
      </c>
      <c r="E171" s="138" t="s">
        <v>2447</v>
      </c>
      <c r="F171" s="629" t="s">
        <v>2448</v>
      </c>
      <c r="G171" s="47" t="s">
        <v>260</v>
      </c>
    </row>
    <row r="172" spans="1:7" s="83" customFormat="1" ht="17.25" customHeight="1">
      <c r="A172" s="185" t="s">
        <v>1889</v>
      </c>
      <c r="B172" s="576">
        <v>5</v>
      </c>
      <c r="C172" s="164">
        <v>0</v>
      </c>
      <c r="D172" s="590">
        <v>6000</v>
      </c>
      <c r="E172" s="201" t="s">
        <v>2449</v>
      </c>
      <c r="F172" s="433" t="s">
        <v>2450</v>
      </c>
      <c r="G172" s="47" t="s">
        <v>260</v>
      </c>
    </row>
    <row r="173" spans="1:7">
      <c r="A173" s="767" t="s">
        <v>568</v>
      </c>
      <c r="B173" s="572">
        <v>4</v>
      </c>
      <c r="C173" s="142">
        <v>1</v>
      </c>
      <c r="D173" s="581">
        <v>500000</v>
      </c>
      <c r="E173" s="171" t="s">
        <v>2451</v>
      </c>
      <c r="F173" s="430" t="s">
        <v>194</v>
      </c>
      <c r="G173" s="47" t="s">
        <v>260</v>
      </c>
    </row>
    <row r="174" spans="1:7" ht="14.25" customHeight="1">
      <c r="A174" s="161" t="s">
        <v>534</v>
      </c>
      <c r="B174" s="572">
        <v>1</v>
      </c>
      <c r="C174" s="142">
        <v>0</v>
      </c>
      <c r="D174" s="591">
        <v>60</v>
      </c>
      <c r="E174" s="756" t="s">
        <v>2452</v>
      </c>
      <c r="F174" s="433" t="s">
        <v>2453</v>
      </c>
      <c r="G174" s="47" t="s">
        <v>260</v>
      </c>
    </row>
    <row r="175" spans="1:7">
      <c r="A175" s="180" t="s">
        <v>1978</v>
      </c>
      <c r="B175" s="572">
        <v>1</v>
      </c>
      <c r="C175" s="142">
        <v>0</v>
      </c>
      <c r="D175" s="581" t="s">
        <v>194</v>
      </c>
      <c r="E175" s="202" t="s">
        <v>194</v>
      </c>
      <c r="F175" s="629" t="s">
        <v>194</v>
      </c>
      <c r="G175" s="47" t="s">
        <v>194</v>
      </c>
    </row>
    <row r="176" spans="1:7" ht="16.5" customHeight="1">
      <c r="A176" s="767" t="s">
        <v>1878</v>
      </c>
      <c r="B176" s="572">
        <v>5</v>
      </c>
      <c r="C176" s="142">
        <v>0</v>
      </c>
      <c r="D176" s="581">
        <v>6000</v>
      </c>
      <c r="E176" s="171" t="s">
        <v>2454</v>
      </c>
      <c r="F176" s="629" t="s">
        <v>2455</v>
      </c>
      <c r="G176" s="47" t="s">
        <v>260</v>
      </c>
    </row>
    <row r="177" spans="1:7">
      <c r="A177" s="186" t="s">
        <v>1905</v>
      </c>
      <c r="B177" s="572">
        <v>1</v>
      </c>
      <c r="C177" s="142">
        <v>0</v>
      </c>
      <c r="D177" s="592">
        <v>350000</v>
      </c>
      <c r="E177" s="201" t="s">
        <v>2456</v>
      </c>
      <c r="F177" s="433" t="s">
        <v>194</v>
      </c>
      <c r="G177" s="47" t="s">
        <v>260</v>
      </c>
    </row>
    <row r="178" spans="1:7" ht="15" customHeight="1">
      <c r="A178" s="186" t="s">
        <v>686</v>
      </c>
      <c r="B178" s="572">
        <v>1</v>
      </c>
      <c r="C178" s="142">
        <v>0</v>
      </c>
      <c r="D178" s="581">
        <v>5000</v>
      </c>
      <c r="E178" s="138" t="s">
        <v>2457</v>
      </c>
      <c r="F178" s="629" t="s">
        <v>2458</v>
      </c>
      <c r="G178" s="47" t="s">
        <v>260</v>
      </c>
    </row>
    <row r="179" spans="1:7">
      <c r="A179" s="775" t="s">
        <v>1202</v>
      </c>
      <c r="B179" s="572">
        <v>0</v>
      </c>
      <c r="C179" s="142">
        <v>0</v>
      </c>
      <c r="D179" s="556" t="s">
        <v>194</v>
      </c>
      <c r="E179" s="202" t="s">
        <v>194</v>
      </c>
      <c r="F179" s="629" t="s">
        <v>194</v>
      </c>
      <c r="G179" s="47" t="s">
        <v>194</v>
      </c>
    </row>
    <row r="180" spans="1:7" ht="18.75" customHeight="1">
      <c r="A180" s="630" t="s">
        <v>492</v>
      </c>
      <c r="B180" s="572">
        <v>0</v>
      </c>
      <c r="C180" s="142">
        <v>0</v>
      </c>
      <c r="D180" s="581">
        <v>2000</v>
      </c>
      <c r="E180" s="629" t="s">
        <v>2459</v>
      </c>
      <c r="F180" s="629" t="s">
        <v>2460</v>
      </c>
      <c r="G180" s="47" t="s">
        <v>260</v>
      </c>
    </row>
    <row r="181" spans="1:7" ht="17.25" customHeight="1">
      <c r="A181" s="767" t="s">
        <v>319</v>
      </c>
      <c r="B181" s="572">
        <v>1</v>
      </c>
      <c r="C181" s="142">
        <v>0</v>
      </c>
      <c r="D181" s="581">
        <v>1662.5</v>
      </c>
      <c r="E181" s="171" t="s">
        <v>2461</v>
      </c>
      <c r="F181" s="629" t="s">
        <v>2462</v>
      </c>
      <c r="G181" s="47" t="s">
        <v>260</v>
      </c>
    </row>
    <row r="182" spans="1:7" ht="14.25" customHeight="1">
      <c r="A182" s="767" t="s">
        <v>780</v>
      </c>
      <c r="B182" s="572">
        <v>0</v>
      </c>
      <c r="C182" s="142">
        <v>0</v>
      </c>
      <c r="D182" s="581">
        <v>10000</v>
      </c>
      <c r="E182" s="171" t="s">
        <v>2463</v>
      </c>
      <c r="F182" s="639" t="s">
        <v>2464</v>
      </c>
      <c r="G182" s="47" t="s">
        <v>260</v>
      </c>
    </row>
    <row r="183" spans="1:7" ht="18" customHeight="1">
      <c r="A183" s="766" t="s">
        <v>495</v>
      </c>
      <c r="B183" s="572">
        <v>0</v>
      </c>
      <c r="C183" s="142">
        <v>0</v>
      </c>
      <c r="D183" s="587">
        <v>10000</v>
      </c>
      <c r="E183" s="171" t="s">
        <v>2463</v>
      </c>
      <c r="F183" s="639" t="s">
        <v>2465</v>
      </c>
      <c r="G183" s="47" t="s">
        <v>260</v>
      </c>
    </row>
    <row r="184" spans="1:7" ht="14.25" customHeight="1">
      <c r="A184" s="767" t="s">
        <v>987</v>
      </c>
      <c r="B184" s="572">
        <v>0</v>
      </c>
      <c r="C184" s="142">
        <v>0</v>
      </c>
      <c r="D184" s="581">
        <v>6000</v>
      </c>
      <c r="E184" s="629" t="s">
        <v>2466</v>
      </c>
      <c r="F184" s="629" t="s">
        <v>2467</v>
      </c>
      <c r="G184" s="47" t="s">
        <v>260</v>
      </c>
    </row>
    <row r="185" spans="1:7">
      <c r="A185" s="775" t="s">
        <v>1136</v>
      </c>
      <c r="B185" s="572">
        <v>5</v>
      </c>
      <c r="C185" s="142">
        <v>0</v>
      </c>
      <c r="D185" s="556" t="s">
        <v>194</v>
      </c>
      <c r="E185" s="202" t="s">
        <v>194</v>
      </c>
      <c r="F185" s="629" t="s">
        <v>194</v>
      </c>
      <c r="G185" s="47" t="s">
        <v>194</v>
      </c>
    </row>
    <row r="186" spans="1:7" ht="12" customHeight="1">
      <c r="A186" s="767" t="s">
        <v>972</v>
      </c>
      <c r="B186" s="572">
        <v>0</v>
      </c>
      <c r="C186" s="142">
        <v>0</v>
      </c>
      <c r="D186" s="581">
        <v>27500</v>
      </c>
      <c r="E186" s="171" t="s">
        <v>2468</v>
      </c>
      <c r="F186" s="85" t="s">
        <v>2469</v>
      </c>
      <c r="G186" s="47" t="s">
        <v>260</v>
      </c>
    </row>
    <row r="187" spans="1:7">
      <c r="A187" s="775" t="s">
        <v>1224</v>
      </c>
      <c r="B187" s="572">
        <v>1</v>
      </c>
      <c r="C187" s="142">
        <v>0</v>
      </c>
      <c r="D187" s="556" t="s">
        <v>194</v>
      </c>
      <c r="E187" s="202" t="s">
        <v>194</v>
      </c>
      <c r="F187" s="629" t="s">
        <v>194</v>
      </c>
      <c r="G187" s="47" t="s">
        <v>194</v>
      </c>
    </row>
    <row r="188" spans="1:7">
      <c r="A188" s="775" t="s">
        <v>1222</v>
      </c>
      <c r="B188" s="572">
        <v>1</v>
      </c>
      <c r="C188" s="142">
        <v>0</v>
      </c>
      <c r="D188" s="556" t="s">
        <v>194</v>
      </c>
      <c r="E188" s="202" t="s">
        <v>194</v>
      </c>
      <c r="F188" s="629" t="s">
        <v>194</v>
      </c>
      <c r="G188" s="47" t="s">
        <v>194</v>
      </c>
    </row>
    <row r="189" spans="1:7" ht="18" customHeight="1">
      <c r="A189" s="630" t="s">
        <v>2470</v>
      </c>
      <c r="B189" s="572">
        <v>1</v>
      </c>
      <c r="C189" s="142">
        <v>0</v>
      </c>
      <c r="D189" s="556">
        <v>9.92</v>
      </c>
      <c r="E189" s="138" t="s">
        <v>2471</v>
      </c>
      <c r="F189" s="629" t="s">
        <v>2472</v>
      </c>
      <c r="G189" s="47" t="s">
        <v>260</v>
      </c>
    </row>
    <row r="190" spans="1:7" ht="14.25" customHeight="1">
      <c r="A190" s="630" t="s">
        <v>950</v>
      </c>
      <c r="B190" s="572">
        <v>4.5</v>
      </c>
      <c r="C190" s="142">
        <v>1</v>
      </c>
      <c r="D190" s="581">
        <v>299</v>
      </c>
      <c r="E190" s="171" t="s">
        <v>2473</v>
      </c>
      <c r="F190" s="629" t="s">
        <v>2474</v>
      </c>
      <c r="G190" s="47" t="s">
        <v>260</v>
      </c>
    </row>
    <row r="191" spans="1:7" ht="14.25" customHeight="1">
      <c r="A191" s="630" t="s">
        <v>898</v>
      </c>
      <c r="B191" s="572">
        <v>4</v>
      </c>
      <c r="C191" s="142">
        <v>0</v>
      </c>
      <c r="D191" s="581">
        <v>4500000</v>
      </c>
      <c r="E191" s="138" t="s">
        <v>2475</v>
      </c>
      <c r="F191" s="176" t="s">
        <v>194</v>
      </c>
      <c r="G191" s="47" t="s">
        <v>260</v>
      </c>
    </row>
    <row r="192" spans="1:7" ht="15.75" customHeight="1">
      <c r="A192" s="630" t="s">
        <v>818</v>
      </c>
      <c r="B192" s="572">
        <v>4</v>
      </c>
      <c r="C192" s="142">
        <v>0</v>
      </c>
      <c r="D192" s="581">
        <v>30000</v>
      </c>
      <c r="E192" s="138" t="s">
        <v>2476</v>
      </c>
      <c r="F192" s="176" t="s">
        <v>194</v>
      </c>
      <c r="G192" s="47" t="s">
        <v>260</v>
      </c>
    </row>
    <row r="193" spans="1:7" ht="15" customHeight="1">
      <c r="A193" s="630" t="s">
        <v>825</v>
      </c>
      <c r="B193" s="572">
        <v>4</v>
      </c>
      <c r="C193" s="142">
        <v>0</v>
      </c>
      <c r="D193" s="581">
        <v>5500000</v>
      </c>
      <c r="E193" s="138" t="s">
        <v>2476</v>
      </c>
      <c r="F193" s="176" t="s">
        <v>194</v>
      </c>
      <c r="G193" s="47" t="s">
        <v>260</v>
      </c>
    </row>
    <row r="194" spans="1:7" ht="15.75" customHeight="1">
      <c r="A194" s="620" t="s">
        <v>202</v>
      </c>
      <c r="B194" s="572">
        <v>0</v>
      </c>
      <c r="C194" s="142">
        <v>0</v>
      </c>
      <c r="D194" s="585">
        <v>350</v>
      </c>
      <c r="E194" s="204" t="s">
        <v>2477</v>
      </c>
      <c r="F194" s="636" t="s">
        <v>2478</v>
      </c>
      <c r="G194" s="47" t="s">
        <v>260</v>
      </c>
    </row>
    <row r="195" spans="1:7">
      <c r="A195" s="620" t="s">
        <v>1317</v>
      </c>
      <c r="B195" s="572">
        <v>4</v>
      </c>
      <c r="C195" s="142">
        <v>0</v>
      </c>
      <c r="D195" s="585" t="s">
        <v>194</v>
      </c>
      <c r="E195" s="202" t="s">
        <v>194</v>
      </c>
      <c r="F195" s="629" t="s">
        <v>194</v>
      </c>
      <c r="G195" s="47" t="s">
        <v>194</v>
      </c>
    </row>
    <row r="196" spans="1:7" ht="13.5" customHeight="1">
      <c r="A196" s="620" t="s">
        <v>1319</v>
      </c>
      <c r="B196" s="572">
        <v>4.5</v>
      </c>
      <c r="C196" s="142">
        <v>0</v>
      </c>
      <c r="D196" s="585">
        <v>2600000</v>
      </c>
      <c r="E196" s="138" t="s">
        <v>2479</v>
      </c>
      <c r="F196" s="636" t="s">
        <v>2480</v>
      </c>
      <c r="G196" s="47" t="s">
        <v>260</v>
      </c>
    </row>
    <row r="197" spans="1:7" ht="18" customHeight="1">
      <c r="A197" s="620" t="s">
        <v>1099</v>
      </c>
      <c r="B197" s="572">
        <v>1</v>
      </c>
      <c r="C197" s="142">
        <v>0</v>
      </c>
      <c r="D197" s="585">
        <v>1.5</v>
      </c>
      <c r="E197" s="204" t="s">
        <v>2481</v>
      </c>
      <c r="F197" s="636" t="s">
        <v>2482</v>
      </c>
      <c r="G197" s="47" t="s">
        <v>260</v>
      </c>
    </row>
    <row r="198" spans="1:7" ht="15.75" customHeight="1">
      <c r="A198" s="620" t="s">
        <v>1326</v>
      </c>
      <c r="B198" s="572">
        <v>0</v>
      </c>
      <c r="C198" s="142">
        <v>0</v>
      </c>
      <c r="D198" s="585">
        <v>40</v>
      </c>
      <c r="E198" s="204" t="s">
        <v>2483</v>
      </c>
      <c r="F198" s="636" t="s">
        <v>2482</v>
      </c>
      <c r="G198" s="47" t="s">
        <v>260</v>
      </c>
    </row>
    <row r="199" spans="1:7" ht="16.5" customHeight="1">
      <c r="A199" s="620" t="s">
        <v>2484</v>
      </c>
      <c r="B199" s="572">
        <v>5</v>
      </c>
      <c r="C199" s="142">
        <v>0</v>
      </c>
      <c r="D199" s="585">
        <v>30000000</v>
      </c>
      <c r="E199" s="204" t="s">
        <v>2485</v>
      </c>
      <c r="F199" s="636"/>
      <c r="G199" s="47" t="s">
        <v>260</v>
      </c>
    </row>
    <row r="200" spans="1:7" ht="14.25" customHeight="1">
      <c r="A200" s="620" t="s">
        <v>1044</v>
      </c>
      <c r="B200" s="572">
        <v>0</v>
      </c>
      <c r="C200" s="142">
        <v>0</v>
      </c>
      <c r="D200" s="585">
        <v>200</v>
      </c>
      <c r="E200" s="204" t="s">
        <v>2486</v>
      </c>
      <c r="F200" s="636" t="s">
        <v>2487</v>
      </c>
      <c r="G200" s="47" t="s">
        <v>260</v>
      </c>
    </row>
    <row r="201" spans="1:7" ht="15" customHeight="1">
      <c r="A201" s="620" t="s">
        <v>290</v>
      </c>
      <c r="B201" s="572">
        <v>1</v>
      </c>
      <c r="C201" s="142">
        <v>0</v>
      </c>
      <c r="D201" s="585">
        <v>0.56999999999999995</v>
      </c>
      <c r="E201" s="138" t="s">
        <v>2488</v>
      </c>
      <c r="F201" s="636" t="s">
        <v>2489</v>
      </c>
      <c r="G201" s="47" t="s">
        <v>260</v>
      </c>
    </row>
    <row r="202" spans="1:7" ht="13.5" customHeight="1">
      <c r="A202" s="630" t="s">
        <v>288</v>
      </c>
      <c r="B202" s="572">
        <v>1</v>
      </c>
      <c r="C202" s="142">
        <v>0</v>
      </c>
      <c r="D202" s="581">
        <v>36.950000000000003</v>
      </c>
      <c r="E202" s="138" t="s">
        <v>286</v>
      </c>
      <c r="F202" s="629" t="s">
        <v>2490</v>
      </c>
      <c r="G202" s="47" t="s">
        <v>260</v>
      </c>
    </row>
    <row r="203" spans="1:7" ht="16.5" customHeight="1">
      <c r="A203" s="630" t="s">
        <v>289</v>
      </c>
      <c r="B203" s="572">
        <v>1</v>
      </c>
      <c r="C203" s="142">
        <v>0</v>
      </c>
      <c r="D203" s="581">
        <v>316.68</v>
      </c>
      <c r="E203" s="138" t="s">
        <v>2491</v>
      </c>
      <c r="F203" s="629" t="s">
        <v>2492</v>
      </c>
      <c r="G203" s="47" t="s">
        <v>260</v>
      </c>
    </row>
    <row r="204" spans="1:7" ht="15" customHeight="1">
      <c r="A204" s="620" t="s">
        <v>246</v>
      </c>
      <c r="B204" s="572">
        <v>4</v>
      </c>
      <c r="C204" s="142">
        <v>0</v>
      </c>
      <c r="D204" s="585">
        <v>5170000</v>
      </c>
      <c r="E204" s="138" t="s">
        <v>2195</v>
      </c>
      <c r="F204" s="636" t="s">
        <v>2493</v>
      </c>
      <c r="G204" s="47" t="s">
        <v>260</v>
      </c>
    </row>
    <row r="205" spans="1:7" ht="15.75" customHeight="1">
      <c r="A205" s="620" t="s">
        <v>1634</v>
      </c>
      <c r="B205" s="572">
        <v>1</v>
      </c>
      <c r="C205" s="142">
        <v>0</v>
      </c>
      <c r="D205" s="585">
        <v>461730</v>
      </c>
      <c r="E205" s="138" t="s">
        <v>2494</v>
      </c>
      <c r="F205" s="636" t="s">
        <v>2495</v>
      </c>
      <c r="G205" s="47" t="s">
        <v>260</v>
      </c>
    </row>
    <row r="206" spans="1:7" ht="18" customHeight="1">
      <c r="A206" s="620" t="s">
        <v>1628</v>
      </c>
      <c r="B206" s="572">
        <v>2.5</v>
      </c>
      <c r="C206" s="142">
        <v>0</v>
      </c>
      <c r="D206" s="585">
        <v>65385</v>
      </c>
      <c r="E206" s="138" t="s">
        <v>2496</v>
      </c>
      <c r="F206" s="636" t="s">
        <v>2497</v>
      </c>
      <c r="G206" s="47" t="s">
        <v>260</v>
      </c>
    </row>
    <row r="207" spans="1:7" ht="15.75" customHeight="1">
      <c r="A207" s="187" t="s">
        <v>583</v>
      </c>
      <c r="B207" s="572">
        <v>4</v>
      </c>
      <c r="C207" s="142">
        <v>1</v>
      </c>
      <c r="D207" s="585">
        <v>1550000</v>
      </c>
      <c r="E207" s="138" t="s">
        <v>2498</v>
      </c>
      <c r="F207" s="636" t="s">
        <v>194</v>
      </c>
      <c r="G207" s="47" t="s">
        <v>260</v>
      </c>
    </row>
    <row r="208" spans="1:7" ht="15" customHeight="1">
      <c r="A208" s="620" t="s">
        <v>580</v>
      </c>
      <c r="B208" s="572">
        <v>4</v>
      </c>
      <c r="C208" s="142">
        <v>1</v>
      </c>
      <c r="D208" s="585">
        <v>2300000</v>
      </c>
      <c r="E208" s="138" t="s">
        <v>2499</v>
      </c>
      <c r="F208" s="636" t="s">
        <v>194</v>
      </c>
      <c r="G208" s="47" t="s">
        <v>260</v>
      </c>
    </row>
    <row r="209" spans="1:7" ht="15.75" customHeight="1">
      <c r="A209" s="620" t="s">
        <v>711</v>
      </c>
      <c r="B209" s="572">
        <v>0</v>
      </c>
      <c r="C209" s="142">
        <v>0</v>
      </c>
      <c r="D209" s="585">
        <v>25</v>
      </c>
      <c r="E209" s="138" t="s">
        <v>2500</v>
      </c>
      <c r="F209" s="636" t="s">
        <v>194</v>
      </c>
      <c r="G209" s="47" t="s">
        <v>260</v>
      </c>
    </row>
    <row r="210" spans="1:7" ht="15.75" customHeight="1">
      <c r="A210" s="620" t="s">
        <v>2501</v>
      </c>
      <c r="B210" s="572">
        <v>4</v>
      </c>
      <c r="C210" s="142">
        <v>1</v>
      </c>
      <c r="D210" s="585">
        <v>500000</v>
      </c>
      <c r="E210" s="171" t="s">
        <v>2451</v>
      </c>
      <c r="F210" s="636" t="s">
        <v>2502</v>
      </c>
      <c r="G210" s="47" t="s">
        <v>260</v>
      </c>
    </row>
    <row r="211" spans="1:7" ht="16.5" customHeight="1">
      <c r="A211" s="187" t="s">
        <v>896</v>
      </c>
      <c r="B211" s="572">
        <v>4</v>
      </c>
      <c r="C211" s="142">
        <v>0</v>
      </c>
      <c r="D211" s="585">
        <v>7954000</v>
      </c>
      <c r="E211" s="138" t="s">
        <v>2503</v>
      </c>
      <c r="F211" s="636" t="s">
        <v>2504</v>
      </c>
      <c r="G211" s="47" t="s">
        <v>260</v>
      </c>
    </row>
    <row r="212" spans="1:7" ht="18.75" customHeight="1">
      <c r="A212" s="187" t="s">
        <v>1574</v>
      </c>
      <c r="B212" s="572">
        <v>0</v>
      </c>
      <c r="C212" s="142">
        <v>0</v>
      </c>
      <c r="D212" s="585">
        <v>632</v>
      </c>
      <c r="E212" s="138" t="s">
        <v>2505</v>
      </c>
      <c r="F212" s="629" t="s">
        <v>2506</v>
      </c>
      <c r="G212" s="47" t="s">
        <v>260</v>
      </c>
    </row>
    <row r="213" spans="1:7" ht="17.25" customHeight="1">
      <c r="A213" s="620" t="s">
        <v>1573</v>
      </c>
      <c r="B213" s="572">
        <v>0</v>
      </c>
      <c r="C213" s="142">
        <v>0</v>
      </c>
      <c r="D213" s="585">
        <v>675</v>
      </c>
      <c r="E213" s="138" t="s">
        <v>2507</v>
      </c>
      <c r="F213" s="629" t="s">
        <v>2508</v>
      </c>
      <c r="G213" s="47" t="s">
        <v>260</v>
      </c>
    </row>
    <row r="214" spans="1:7" ht="18" customHeight="1">
      <c r="A214" s="620" t="s">
        <v>994</v>
      </c>
      <c r="B214" s="572">
        <v>0</v>
      </c>
      <c r="C214" s="142">
        <v>0</v>
      </c>
      <c r="D214" s="585">
        <v>125000000</v>
      </c>
      <c r="E214" s="138" t="s">
        <v>2509</v>
      </c>
      <c r="F214" s="636" t="s">
        <v>2510</v>
      </c>
      <c r="G214" s="47" t="s">
        <v>260</v>
      </c>
    </row>
    <row r="215" spans="1:7">
      <c r="A215" s="615" t="s">
        <v>1711</v>
      </c>
      <c r="B215" s="572">
        <v>0</v>
      </c>
      <c r="C215" s="142">
        <v>0</v>
      </c>
      <c r="D215" s="556">
        <v>200</v>
      </c>
      <c r="E215" s="200" t="s">
        <v>2511</v>
      </c>
      <c r="F215" s="175" t="s">
        <v>194</v>
      </c>
      <c r="G215" s="47" t="s">
        <v>260</v>
      </c>
    </row>
    <row r="216" spans="1:7" ht="15" customHeight="1">
      <c r="A216" s="620" t="s">
        <v>769</v>
      </c>
      <c r="B216" s="572">
        <v>0</v>
      </c>
      <c r="C216" s="142">
        <v>0</v>
      </c>
      <c r="D216" s="556">
        <v>43</v>
      </c>
      <c r="E216" s="171" t="s">
        <v>2512</v>
      </c>
      <c r="F216" s="175" t="s">
        <v>2513</v>
      </c>
      <c r="G216" s="47" t="s">
        <v>260</v>
      </c>
    </row>
    <row r="217" spans="1:7" ht="16.5" customHeight="1">
      <c r="A217" s="630" t="s">
        <v>1278</v>
      </c>
      <c r="B217" s="572">
        <v>1</v>
      </c>
      <c r="C217" s="142">
        <v>0</v>
      </c>
      <c r="D217" s="581">
        <v>30</v>
      </c>
      <c r="E217" s="138" t="s">
        <v>2514</v>
      </c>
      <c r="F217" s="629" t="s">
        <v>2515</v>
      </c>
      <c r="G217" s="47" t="s">
        <v>260</v>
      </c>
    </row>
    <row r="218" spans="1:7" ht="13.5" customHeight="1">
      <c r="A218" s="620" t="s">
        <v>438</v>
      </c>
      <c r="B218" s="572">
        <v>4.5</v>
      </c>
      <c r="C218" s="142">
        <v>0</v>
      </c>
      <c r="D218" s="585">
        <v>3890</v>
      </c>
      <c r="E218" s="204" t="s">
        <v>194</v>
      </c>
      <c r="F218" s="636" t="s">
        <v>2516</v>
      </c>
      <c r="G218" s="47" t="s">
        <v>260</v>
      </c>
    </row>
    <row r="219" spans="1:7" ht="15.75" customHeight="1">
      <c r="A219" s="182" t="s">
        <v>426</v>
      </c>
      <c r="B219" s="572">
        <v>1</v>
      </c>
      <c r="C219" s="142">
        <v>0</v>
      </c>
      <c r="D219" s="588">
        <v>979</v>
      </c>
      <c r="E219" s="205" t="s">
        <v>2517</v>
      </c>
      <c r="F219" s="205" t="s">
        <v>2518</v>
      </c>
      <c r="G219" s="47" t="s">
        <v>260</v>
      </c>
    </row>
    <row r="220" spans="1:7">
      <c r="A220" s="630" t="s">
        <v>448</v>
      </c>
      <c r="B220" s="572">
        <v>1</v>
      </c>
      <c r="C220" s="142">
        <v>0</v>
      </c>
      <c r="D220" s="581" t="s">
        <v>194</v>
      </c>
      <c r="E220" s="202" t="s">
        <v>194</v>
      </c>
      <c r="F220" s="629" t="s">
        <v>194</v>
      </c>
      <c r="G220" s="47" t="s">
        <v>194</v>
      </c>
    </row>
    <row r="221" spans="1:7">
      <c r="A221" s="630" t="s">
        <v>449</v>
      </c>
      <c r="B221" s="572">
        <v>2.5</v>
      </c>
      <c r="C221" s="142">
        <v>0</v>
      </c>
      <c r="D221" s="581" t="s">
        <v>194</v>
      </c>
      <c r="E221" s="202" t="s">
        <v>194</v>
      </c>
      <c r="F221" s="629" t="s">
        <v>194</v>
      </c>
      <c r="G221" s="47" t="s">
        <v>194</v>
      </c>
    </row>
    <row r="222" spans="1:7">
      <c r="A222" s="630" t="s">
        <v>650</v>
      </c>
      <c r="B222" s="572">
        <v>2.5</v>
      </c>
      <c r="C222" s="142">
        <v>0</v>
      </c>
      <c r="D222" s="581" t="s">
        <v>194</v>
      </c>
      <c r="E222" s="202" t="s">
        <v>194</v>
      </c>
      <c r="F222" s="629" t="s">
        <v>194</v>
      </c>
      <c r="G222" s="47" t="s">
        <v>194</v>
      </c>
    </row>
    <row r="223" spans="1:7">
      <c r="A223" s="630" t="s">
        <v>649</v>
      </c>
      <c r="B223" s="572">
        <v>2</v>
      </c>
      <c r="C223" s="142">
        <v>0</v>
      </c>
      <c r="D223" s="581" t="s">
        <v>194</v>
      </c>
      <c r="E223" s="202" t="s">
        <v>194</v>
      </c>
      <c r="F223" s="629" t="s">
        <v>194</v>
      </c>
      <c r="G223" s="47" t="s">
        <v>194</v>
      </c>
    </row>
    <row r="224" spans="1:7">
      <c r="A224" s="630" t="s">
        <v>1156</v>
      </c>
      <c r="B224" s="572">
        <v>3</v>
      </c>
      <c r="C224" s="142">
        <v>0</v>
      </c>
      <c r="D224" s="581" t="s">
        <v>194</v>
      </c>
      <c r="E224" s="202" t="s">
        <v>194</v>
      </c>
      <c r="F224" s="629" t="s">
        <v>194</v>
      </c>
      <c r="G224" s="47" t="s">
        <v>194</v>
      </c>
    </row>
    <row r="225" spans="1:7">
      <c r="A225" s="630" t="s">
        <v>1159</v>
      </c>
      <c r="B225" s="572">
        <v>2</v>
      </c>
      <c r="C225" s="142">
        <v>0</v>
      </c>
      <c r="D225" s="581" t="s">
        <v>194</v>
      </c>
      <c r="E225" s="202" t="s">
        <v>194</v>
      </c>
      <c r="F225" s="629" t="s">
        <v>194</v>
      </c>
      <c r="G225" s="47" t="s">
        <v>194</v>
      </c>
    </row>
    <row r="226" spans="1:7" ht="14.25" customHeight="1">
      <c r="A226" s="187" t="s">
        <v>234</v>
      </c>
      <c r="B226" s="572">
        <v>4</v>
      </c>
      <c r="C226" s="142">
        <v>0</v>
      </c>
      <c r="D226" s="585">
        <v>1750000</v>
      </c>
      <c r="E226" s="138" t="s">
        <v>2519</v>
      </c>
      <c r="F226" s="636" t="s">
        <v>2520</v>
      </c>
      <c r="G226" s="47" t="s">
        <v>260</v>
      </c>
    </row>
    <row r="227" spans="1:7" ht="15.75" customHeight="1">
      <c r="A227" s="630" t="s">
        <v>2150</v>
      </c>
      <c r="B227" s="572">
        <v>5</v>
      </c>
      <c r="C227" s="142">
        <v>0</v>
      </c>
      <c r="D227" s="581">
        <v>5000000</v>
      </c>
      <c r="E227" s="138" t="s">
        <v>2521</v>
      </c>
      <c r="F227" s="629" t="s">
        <v>2522</v>
      </c>
      <c r="G227" s="47" t="s">
        <v>260</v>
      </c>
    </row>
    <row r="228" spans="1:7" ht="15.75" customHeight="1">
      <c r="A228" s="187" t="s">
        <v>1064</v>
      </c>
      <c r="B228" s="572">
        <v>4</v>
      </c>
      <c r="C228" s="142">
        <v>0</v>
      </c>
      <c r="D228" s="581">
        <v>962280</v>
      </c>
      <c r="E228" s="138" t="s">
        <v>2523</v>
      </c>
      <c r="F228" s="629" t="s">
        <v>2524</v>
      </c>
      <c r="G228" s="47" t="s">
        <v>260</v>
      </c>
    </row>
    <row r="229" spans="1:7" ht="14.25" customHeight="1">
      <c r="A229" s="620" t="s">
        <v>1293</v>
      </c>
      <c r="B229" s="572">
        <v>1</v>
      </c>
      <c r="C229" s="142">
        <v>0</v>
      </c>
      <c r="D229" s="585" t="s">
        <v>194</v>
      </c>
      <c r="E229" s="202" t="s">
        <v>194</v>
      </c>
      <c r="F229" s="636" t="s">
        <v>2525</v>
      </c>
      <c r="G229" s="47" t="s">
        <v>194</v>
      </c>
    </row>
    <row r="230" spans="1:7" ht="17.25" customHeight="1">
      <c r="A230" s="620" t="s">
        <v>1296</v>
      </c>
      <c r="B230" s="572">
        <v>4.5</v>
      </c>
      <c r="C230" s="142">
        <v>0</v>
      </c>
      <c r="D230" s="585" t="s">
        <v>194</v>
      </c>
      <c r="E230" s="202" t="s">
        <v>194</v>
      </c>
      <c r="F230" s="636" t="s">
        <v>2526</v>
      </c>
      <c r="G230" s="47" t="s">
        <v>194</v>
      </c>
    </row>
    <row r="231" spans="1:7" ht="17.25" customHeight="1">
      <c r="A231" s="620" t="s">
        <v>654</v>
      </c>
      <c r="B231" s="572">
        <v>4</v>
      </c>
      <c r="C231" s="142">
        <v>0</v>
      </c>
      <c r="D231" s="585">
        <v>29215940</v>
      </c>
      <c r="E231" s="171" t="s">
        <v>2527</v>
      </c>
      <c r="F231" s="539" t="s">
        <v>2528</v>
      </c>
      <c r="G231" s="47" t="s">
        <v>260</v>
      </c>
    </row>
    <row r="232" spans="1:7" ht="15.75" customHeight="1">
      <c r="A232" s="620" t="s">
        <v>660</v>
      </c>
      <c r="B232" s="572">
        <v>4.5</v>
      </c>
      <c r="C232" s="142">
        <v>0</v>
      </c>
      <c r="D232" s="585">
        <v>1406812</v>
      </c>
      <c r="E232" s="171" t="s">
        <v>2529</v>
      </c>
      <c r="F232" s="636" t="s">
        <v>2530</v>
      </c>
      <c r="G232" s="47" t="s">
        <v>260</v>
      </c>
    </row>
    <row r="233" spans="1:7">
      <c r="A233" s="620" t="s">
        <v>2531</v>
      </c>
      <c r="B233" s="572">
        <v>4</v>
      </c>
      <c r="C233" s="142">
        <v>0</v>
      </c>
      <c r="D233" s="585" t="s">
        <v>194</v>
      </c>
      <c r="E233" s="202" t="s">
        <v>194</v>
      </c>
      <c r="F233" s="636" t="s">
        <v>194</v>
      </c>
      <c r="G233" s="47" t="s">
        <v>194</v>
      </c>
    </row>
    <row r="234" spans="1:7" ht="14.25" customHeight="1">
      <c r="A234" s="182" t="s">
        <v>1170</v>
      </c>
      <c r="B234" s="572">
        <v>1</v>
      </c>
      <c r="C234" s="142">
        <v>0</v>
      </c>
      <c r="D234" s="588">
        <v>32000</v>
      </c>
      <c r="E234" s="205" t="s">
        <v>2322</v>
      </c>
      <c r="F234" s="205" t="s">
        <v>2532</v>
      </c>
      <c r="G234" s="47" t="s">
        <v>260</v>
      </c>
    </row>
    <row r="235" spans="1:7" ht="18" customHeight="1">
      <c r="A235" s="182" t="s">
        <v>2533</v>
      </c>
      <c r="B235" s="572">
        <v>4</v>
      </c>
      <c r="C235" s="142">
        <v>0</v>
      </c>
      <c r="D235" s="585">
        <v>1200000</v>
      </c>
      <c r="E235" s="138" t="s">
        <v>2534</v>
      </c>
      <c r="F235" s="636" t="s">
        <v>2535</v>
      </c>
      <c r="G235" s="47" t="s">
        <v>194</v>
      </c>
    </row>
    <row r="236" spans="1:7" ht="15.75" customHeight="1">
      <c r="A236" s="620" t="s">
        <v>2536</v>
      </c>
      <c r="B236" s="572">
        <v>2</v>
      </c>
      <c r="C236" s="142">
        <v>0</v>
      </c>
      <c r="D236" s="585">
        <v>2216.0700000000002</v>
      </c>
      <c r="E236" s="138" t="s">
        <v>2537</v>
      </c>
      <c r="F236" s="636" t="s">
        <v>2538</v>
      </c>
      <c r="G236" s="47" t="s">
        <v>260</v>
      </c>
    </row>
    <row r="237" spans="1:7">
      <c r="A237" s="630" t="s">
        <v>646</v>
      </c>
      <c r="B237" s="572">
        <v>5</v>
      </c>
      <c r="C237" s="142">
        <v>0</v>
      </c>
      <c r="D237" s="581" t="s">
        <v>194</v>
      </c>
      <c r="E237" s="202" t="s">
        <v>194</v>
      </c>
      <c r="F237" s="636" t="s">
        <v>194</v>
      </c>
      <c r="G237" s="47" t="s">
        <v>194</v>
      </c>
    </row>
    <row r="238" spans="1:7">
      <c r="A238" s="187" t="s">
        <v>1064</v>
      </c>
      <c r="B238" s="572">
        <v>4</v>
      </c>
      <c r="C238" s="142">
        <v>0</v>
      </c>
      <c r="D238" s="585" t="s">
        <v>194</v>
      </c>
      <c r="E238" s="202" t="s">
        <v>194</v>
      </c>
      <c r="F238" s="636" t="s">
        <v>194</v>
      </c>
      <c r="G238" s="47" t="s">
        <v>194</v>
      </c>
    </row>
    <row r="239" spans="1:7">
      <c r="A239" s="620" t="s">
        <v>586</v>
      </c>
      <c r="B239" s="572">
        <v>5</v>
      </c>
      <c r="C239" s="142">
        <v>1</v>
      </c>
      <c r="D239" s="585">
        <v>12000000</v>
      </c>
      <c r="E239" s="200" t="s">
        <v>2539</v>
      </c>
      <c r="F239" s="636" t="s">
        <v>194</v>
      </c>
      <c r="G239" s="47" t="s">
        <v>260</v>
      </c>
    </row>
    <row r="240" spans="1:7">
      <c r="A240" s="620" t="s">
        <v>2540</v>
      </c>
      <c r="B240" s="572">
        <v>2</v>
      </c>
      <c r="C240" s="142">
        <v>0</v>
      </c>
      <c r="D240" s="585" t="s">
        <v>194</v>
      </c>
      <c r="E240" s="202" t="s">
        <v>194</v>
      </c>
      <c r="F240" s="636" t="s">
        <v>194</v>
      </c>
      <c r="G240" s="47" t="s">
        <v>194</v>
      </c>
    </row>
    <row r="241" spans="1:7">
      <c r="A241" s="620" t="s">
        <v>2541</v>
      </c>
      <c r="B241" s="572">
        <v>2.5</v>
      </c>
      <c r="C241" s="142">
        <v>0</v>
      </c>
      <c r="D241" s="585" t="s">
        <v>194</v>
      </c>
      <c r="E241" s="202" t="s">
        <v>194</v>
      </c>
      <c r="F241" s="636" t="s">
        <v>194</v>
      </c>
      <c r="G241" s="47" t="s">
        <v>194</v>
      </c>
    </row>
    <row r="242" spans="1:7">
      <c r="A242" s="620" t="s">
        <v>1071</v>
      </c>
      <c r="B242" s="572">
        <v>2</v>
      </c>
      <c r="C242" s="142">
        <v>0</v>
      </c>
      <c r="D242" s="585" t="s">
        <v>194</v>
      </c>
      <c r="E242" s="202" t="s">
        <v>194</v>
      </c>
      <c r="F242" s="636" t="s">
        <v>194</v>
      </c>
      <c r="G242" s="47" t="s">
        <v>194</v>
      </c>
    </row>
    <row r="243" spans="1:7">
      <c r="A243" s="620" t="s">
        <v>1070</v>
      </c>
      <c r="B243" s="572">
        <v>4</v>
      </c>
      <c r="C243" s="142">
        <v>0</v>
      </c>
      <c r="D243" s="585" t="s">
        <v>194</v>
      </c>
      <c r="E243" s="202" t="s">
        <v>194</v>
      </c>
      <c r="F243" s="636" t="s">
        <v>194</v>
      </c>
      <c r="G243" s="47" t="s">
        <v>194</v>
      </c>
    </row>
    <row r="244" spans="1:7" ht="16.5" customHeight="1">
      <c r="A244" s="620" t="s">
        <v>1047</v>
      </c>
      <c r="B244" s="572">
        <v>0</v>
      </c>
      <c r="C244" s="142">
        <v>0</v>
      </c>
      <c r="D244" s="585">
        <v>200000</v>
      </c>
      <c r="E244" s="138" t="s">
        <v>2542</v>
      </c>
      <c r="F244" s="636" t="s">
        <v>2543</v>
      </c>
      <c r="G244" s="47" t="s">
        <v>260</v>
      </c>
    </row>
    <row r="245" spans="1:7" ht="15" customHeight="1">
      <c r="A245" s="620" t="s">
        <v>709</v>
      </c>
      <c r="B245" s="572">
        <v>0</v>
      </c>
      <c r="C245" s="142">
        <v>0</v>
      </c>
      <c r="D245" s="585">
        <v>4995</v>
      </c>
      <c r="E245" s="138" t="s">
        <v>2544</v>
      </c>
      <c r="F245" s="636" t="s">
        <v>2545</v>
      </c>
      <c r="G245" s="47" t="s">
        <v>260</v>
      </c>
    </row>
    <row r="246" spans="1:7" ht="15" customHeight="1">
      <c r="A246" s="620" t="s">
        <v>2546</v>
      </c>
      <c r="B246" s="572">
        <v>4</v>
      </c>
      <c r="C246" s="142">
        <v>0</v>
      </c>
      <c r="D246" s="585">
        <v>2681564.25</v>
      </c>
      <c r="E246" s="138" t="s">
        <v>2547</v>
      </c>
      <c r="F246" s="636" t="s">
        <v>2548</v>
      </c>
      <c r="G246" s="47" t="s">
        <v>260</v>
      </c>
    </row>
    <row r="247" spans="1:7" ht="15" customHeight="1">
      <c r="A247" s="620" t="s">
        <v>2549</v>
      </c>
      <c r="B247" s="572">
        <v>4.5</v>
      </c>
      <c r="C247" s="142">
        <v>0</v>
      </c>
      <c r="D247" s="585" t="s">
        <v>194</v>
      </c>
      <c r="E247" s="202" t="s">
        <v>194</v>
      </c>
      <c r="F247" s="636" t="s">
        <v>2550</v>
      </c>
      <c r="G247" s="47" t="s">
        <v>194</v>
      </c>
    </row>
    <row r="248" spans="1:7" ht="17.25" customHeight="1">
      <c r="A248" s="191" t="s">
        <v>1394</v>
      </c>
      <c r="B248" s="572">
        <v>4</v>
      </c>
      <c r="C248" s="142">
        <v>0</v>
      </c>
      <c r="D248" s="585">
        <v>11458333.333000001</v>
      </c>
      <c r="E248" s="138" t="s">
        <v>2551</v>
      </c>
      <c r="F248" s="636" t="s">
        <v>2552</v>
      </c>
      <c r="G248" s="47" t="s">
        <v>260</v>
      </c>
    </row>
    <row r="249" spans="1:7" ht="20.25" customHeight="1">
      <c r="A249" s="188" t="s">
        <v>902</v>
      </c>
      <c r="B249" s="572">
        <v>4</v>
      </c>
      <c r="C249" s="142">
        <v>0</v>
      </c>
      <c r="D249" s="593">
        <v>93750000</v>
      </c>
      <c r="E249" s="201" t="s">
        <v>2553</v>
      </c>
      <c r="F249" s="433" t="s">
        <v>2554</v>
      </c>
      <c r="G249" s="47" t="s">
        <v>260</v>
      </c>
    </row>
    <row r="250" spans="1:7" ht="16.5" customHeight="1">
      <c r="A250" s="161" t="s">
        <v>904</v>
      </c>
      <c r="B250" s="572">
        <v>1</v>
      </c>
      <c r="C250" s="142">
        <v>0</v>
      </c>
      <c r="D250" s="592">
        <v>50000</v>
      </c>
      <c r="E250" s="756" t="s">
        <v>2555</v>
      </c>
      <c r="F250" s="434" t="s">
        <v>2556</v>
      </c>
      <c r="G250" s="47" t="s">
        <v>260</v>
      </c>
    </row>
    <row r="251" spans="1:7" ht="16.5" customHeight="1">
      <c r="A251" s="182" t="s">
        <v>891</v>
      </c>
      <c r="B251" s="572">
        <v>4</v>
      </c>
      <c r="C251" s="142">
        <v>0</v>
      </c>
      <c r="D251" s="588">
        <v>2300000</v>
      </c>
      <c r="E251" s="201" t="s">
        <v>2557</v>
      </c>
      <c r="F251" s="433" t="s">
        <v>2558</v>
      </c>
      <c r="G251" s="47" t="s">
        <v>260</v>
      </c>
    </row>
    <row r="252" spans="1:7" ht="19.5" customHeight="1">
      <c r="A252" s="620" t="s">
        <v>1938</v>
      </c>
      <c r="B252" s="572">
        <v>4</v>
      </c>
      <c r="C252" s="142">
        <v>0</v>
      </c>
      <c r="D252" s="585">
        <v>5600000</v>
      </c>
      <c r="E252" s="138" t="s">
        <v>2559</v>
      </c>
      <c r="F252" s="636" t="s">
        <v>194</v>
      </c>
      <c r="G252" s="47" t="s">
        <v>260</v>
      </c>
    </row>
    <row r="253" spans="1:7" ht="19.5" customHeight="1">
      <c r="A253" s="620" t="s">
        <v>1943</v>
      </c>
      <c r="B253" s="572">
        <v>4</v>
      </c>
      <c r="C253" s="142">
        <v>0</v>
      </c>
      <c r="D253" s="585">
        <v>168000</v>
      </c>
      <c r="E253" s="138" t="s">
        <v>2560</v>
      </c>
      <c r="F253" s="636" t="s">
        <v>194</v>
      </c>
      <c r="G253" s="47"/>
    </row>
    <row r="254" spans="1:7">
      <c r="A254" s="187" t="s">
        <v>2561</v>
      </c>
      <c r="B254" s="572">
        <v>1</v>
      </c>
      <c r="C254" s="142">
        <v>0</v>
      </c>
      <c r="D254" s="585" t="s">
        <v>194</v>
      </c>
      <c r="E254" s="202" t="s">
        <v>194</v>
      </c>
      <c r="F254" s="636" t="s">
        <v>194</v>
      </c>
      <c r="G254" s="47" t="s">
        <v>194</v>
      </c>
    </row>
    <row r="255" spans="1:7">
      <c r="A255" s="620" t="s">
        <v>1948</v>
      </c>
      <c r="B255" s="572">
        <v>3</v>
      </c>
      <c r="C255" s="142">
        <v>0</v>
      </c>
      <c r="D255" s="585" t="s">
        <v>194</v>
      </c>
      <c r="E255" s="202" t="s">
        <v>194</v>
      </c>
      <c r="F255" s="636" t="s">
        <v>194</v>
      </c>
      <c r="G255" s="47" t="s">
        <v>194</v>
      </c>
    </row>
    <row r="256" spans="1:7" ht="19.5" customHeight="1">
      <c r="A256" s="620" t="s">
        <v>1950</v>
      </c>
      <c r="B256" s="572">
        <v>4.5</v>
      </c>
      <c r="C256" s="142">
        <v>0</v>
      </c>
      <c r="D256" s="585">
        <v>3890</v>
      </c>
      <c r="E256" s="204" t="s">
        <v>194</v>
      </c>
      <c r="F256" s="636" t="s">
        <v>2562</v>
      </c>
      <c r="G256" s="47" t="s">
        <v>260</v>
      </c>
    </row>
    <row r="257" spans="1:7" ht="14.25" customHeight="1">
      <c r="A257" s="190" t="s">
        <v>1437</v>
      </c>
      <c r="B257" s="572">
        <v>4</v>
      </c>
      <c r="C257" s="142">
        <v>0</v>
      </c>
      <c r="D257" s="581">
        <v>517000</v>
      </c>
      <c r="E257" s="140" t="s">
        <v>2563</v>
      </c>
      <c r="F257" s="629" t="s">
        <v>2564</v>
      </c>
      <c r="G257" s="47" t="s">
        <v>260</v>
      </c>
    </row>
    <row r="258" spans="1:7" ht="17.25" customHeight="1">
      <c r="A258" s="630" t="s">
        <v>1793</v>
      </c>
      <c r="B258" s="572">
        <v>4</v>
      </c>
      <c r="C258" s="142">
        <v>0</v>
      </c>
      <c r="D258" s="581">
        <v>644000</v>
      </c>
      <c r="E258" s="138" t="s">
        <v>2565</v>
      </c>
      <c r="F258" s="629" t="s">
        <v>2566</v>
      </c>
      <c r="G258" s="47" t="s">
        <v>260</v>
      </c>
    </row>
    <row r="259" spans="1:7" ht="17.25" customHeight="1">
      <c r="A259" s="630" t="s">
        <v>678</v>
      </c>
      <c r="B259" s="572">
        <v>2</v>
      </c>
      <c r="C259" s="142">
        <v>0</v>
      </c>
      <c r="D259" s="583">
        <v>2000</v>
      </c>
      <c r="E259" s="621" t="s">
        <v>2327</v>
      </c>
      <c r="F259" s="631" t="s">
        <v>2567</v>
      </c>
      <c r="G259" s="47" t="s">
        <v>260</v>
      </c>
    </row>
    <row r="260" spans="1:7" ht="18" customHeight="1">
      <c r="A260" s="630" t="s">
        <v>679</v>
      </c>
      <c r="B260" s="572">
        <v>2</v>
      </c>
      <c r="C260" s="142">
        <v>0</v>
      </c>
      <c r="D260" s="581">
        <v>20000</v>
      </c>
      <c r="E260" s="138" t="s">
        <v>2568</v>
      </c>
      <c r="F260" s="636" t="s">
        <v>2569</v>
      </c>
      <c r="G260" s="47" t="s">
        <v>260</v>
      </c>
    </row>
    <row r="261" spans="1:7" ht="19.5" customHeight="1">
      <c r="A261" s="187" t="s">
        <v>680</v>
      </c>
      <c r="B261" s="572">
        <v>2</v>
      </c>
      <c r="C261" s="142">
        <v>0</v>
      </c>
      <c r="D261" s="581">
        <v>23000</v>
      </c>
      <c r="E261" s="138" t="s">
        <v>2570</v>
      </c>
      <c r="F261" s="636" t="s">
        <v>2571</v>
      </c>
      <c r="G261" s="47" t="s">
        <v>260</v>
      </c>
    </row>
    <row r="262" spans="1:7" ht="18.75" customHeight="1">
      <c r="A262" s="187" t="s">
        <v>681</v>
      </c>
      <c r="B262" s="572">
        <v>2.5</v>
      </c>
      <c r="C262" s="142">
        <v>0</v>
      </c>
      <c r="D262" s="581">
        <v>0.44408320000000001</v>
      </c>
      <c r="E262" s="202" t="s">
        <v>2250</v>
      </c>
      <c r="F262" s="636" t="s">
        <v>2572</v>
      </c>
      <c r="G262" s="47" t="s">
        <v>260</v>
      </c>
    </row>
    <row r="263" spans="1:7">
      <c r="A263" s="630" t="s">
        <v>682</v>
      </c>
      <c r="B263" s="572">
        <v>4.5</v>
      </c>
      <c r="C263" s="142">
        <v>0</v>
      </c>
      <c r="D263" s="581" t="s">
        <v>194</v>
      </c>
      <c r="E263" s="202" t="s">
        <v>194</v>
      </c>
      <c r="F263" s="636" t="s">
        <v>194</v>
      </c>
      <c r="G263" s="47" t="s">
        <v>194</v>
      </c>
    </row>
    <row r="264" spans="1:7">
      <c r="A264" s="187" t="s">
        <v>683</v>
      </c>
      <c r="B264" s="572">
        <v>1</v>
      </c>
      <c r="C264" s="142">
        <v>0</v>
      </c>
      <c r="D264" s="581" t="s">
        <v>194</v>
      </c>
      <c r="E264" s="202" t="s">
        <v>194</v>
      </c>
      <c r="F264" s="636" t="s">
        <v>194</v>
      </c>
      <c r="G264" s="47" t="s">
        <v>194</v>
      </c>
    </row>
    <row r="265" spans="1:7">
      <c r="A265" s="630" t="s">
        <v>684</v>
      </c>
      <c r="B265" s="572">
        <v>1</v>
      </c>
      <c r="C265" s="142">
        <v>0</v>
      </c>
      <c r="D265" s="581" t="s">
        <v>194</v>
      </c>
      <c r="E265" s="202" t="s">
        <v>194</v>
      </c>
      <c r="F265" s="636" t="s">
        <v>194</v>
      </c>
      <c r="G265" s="47" t="s">
        <v>194</v>
      </c>
    </row>
    <row r="266" spans="1:7">
      <c r="A266" s="187" t="s">
        <v>685</v>
      </c>
      <c r="B266" s="572">
        <v>5</v>
      </c>
      <c r="C266" s="142">
        <v>0</v>
      </c>
      <c r="D266" s="581" t="s">
        <v>194</v>
      </c>
      <c r="E266" s="202" t="s">
        <v>194</v>
      </c>
      <c r="F266" s="636" t="s">
        <v>194</v>
      </c>
      <c r="G266" s="47" t="s">
        <v>194</v>
      </c>
    </row>
    <row r="267" spans="1:7" ht="20.25" customHeight="1">
      <c r="A267" s="187" t="s">
        <v>687</v>
      </c>
      <c r="B267" s="572">
        <v>1</v>
      </c>
      <c r="C267" s="142">
        <v>0</v>
      </c>
      <c r="D267" s="581">
        <v>6030</v>
      </c>
      <c r="E267" s="138" t="s">
        <v>2573</v>
      </c>
      <c r="F267" s="636" t="s">
        <v>2574</v>
      </c>
      <c r="G267" s="47" t="s">
        <v>260</v>
      </c>
    </row>
    <row r="268" spans="1:7" s="84" customFormat="1" ht="16.5" customHeight="1">
      <c r="A268" s="630" t="s">
        <v>867</v>
      </c>
      <c r="B268" s="572">
        <v>3</v>
      </c>
      <c r="C268" s="142">
        <v>0</v>
      </c>
      <c r="D268" s="581">
        <v>10000</v>
      </c>
      <c r="E268" s="756" t="s">
        <v>2367</v>
      </c>
      <c r="F268" s="434" t="s">
        <v>2575</v>
      </c>
      <c r="G268" s="47" t="s">
        <v>260</v>
      </c>
    </row>
    <row r="269" spans="1:7">
      <c r="A269" s="187" t="s">
        <v>1953</v>
      </c>
      <c r="B269" s="572">
        <v>1</v>
      </c>
      <c r="C269" s="142">
        <v>0</v>
      </c>
      <c r="D269" s="581">
        <v>350000</v>
      </c>
      <c r="E269" s="201" t="s">
        <v>2456</v>
      </c>
      <c r="F269" s="540"/>
      <c r="G269" s="47" t="s">
        <v>260</v>
      </c>
    </row>
    <row r="270" spans="1:7" ht="17.25" customHeight="1">
      <c r="A270" s="630" t="s">
        <v>1947</v>
      </c>
      <c r="B270" s="572">
        <v>3</v>
      </c>
      <c r="C270" s="142">
        <v>0</v>
      </c>
      <c r="D270" s="581">
        <v>126000</v>
      </c>
      <c r="E270" s="756" t="s">
        <v>2576</v>
      </c>
      <c r="F270" s="434" t="s">
        <v>194</v>
      </c>
      <c r="G270" s="47" t="s">
        <v>260</v>
      </c>
    </row>
    <row r="271" spans="1:7" ht="15" customHeight="1">
      <c r="A271" s="630" t="s">
        <v>1669</v>
      </c>
      <c r="B271" s="572">
        <v>3</v>
      </c>
      <c r="C271" s="142">
        <v>0</v>
      </c>
      <c r="D271" s="581">
        <v>2700</v>
      </c>
      <c r="E271" s="138" t="s">
        <v>2577</v>
      </c>
      <c r="F271" s="629" t="s">
        <v>194</v>
      </c>
      <c r="G271" s="47" t="s">
        <v>260</v>
      </c>
    </row>
    <row r="272" spans="1:7" ht="16.5" customHeight="1">
      <c r="A272" s="145" t="s">
        <v>1945</v>
      </c>
      <c r="B272" s="572">
        <v>1</v>
      </c>
      <c r="C272" s="142">
        <v>0</v>
      </c>
      <c r="D272" s="582">
        <v>70000000</v>
      </c>
      <c r="E272" s="206" t="s">
        <v>2222</v>
      </c>
      <c r="F272" s="787" t="s">
        <v>2578</v>
      </c>
      <c r="G272" s="47" t="s">
        <v>260</v>
      </c>
    </row>
    <row r="273" spans="1:7" ht="15.75" customHeight="1">
      <c r="A273" s="630" t="s">
        <v>610</v>
      </c>
      <c r="B273" s="572">
        <v>0</v>
      </c>
      <c r="C273" s="142">
        <v>0</v>
      </c>
      <c r="D273" s="581">
        <v>33960000</v>
      </c>
      <c r="E273" s="138" t="s">
        <v>2579</v>
      </c>
      <c r="F273" s="629" t="s">
        <v>2580</v>
      </c>
      <c r="G273" s="624" t="s">
        <v>260</v>
      </c>
    </row>
    <row r="274" spans="1:7" ht="18" customHeight="1">
      <c r="A274" s="630" t="s">
        <v>249</v>
      </c>
      <c r="B274" s="572">
        <v>4.5</v>
      </c>
      <c r="C274" s="142">
        <v>0</v>
      </c>
      <c r="D274" s="585">
        <v>3890</v>
      </c>
      <c r="E274" s="204" t="s">
        <v>194</v>
      </c>
      <c r="F274" s="636" t="s">
        <v>2581</v>
      </c>
      <c r="G274" s="47" t="s">
        <v>260</v>
      </c>
    </row>
    <row r="275" spans="1:7" ht="22.5" customHeight="1">
      <c r="A275" s="630" t="s">
        <v>677</v>
      </c>
      <c r="B275" s="572">
        <v>1</v>
      </c>
      <c r="C275" s="142">
        <v>0</v>
      </c>
      <c r="D275" s="581">
        <v>86940000</v>
      </c>
      <c r="E275" s="138" t="s">
        <v>2582</v>
      </c>
      <c r="F275" s="629" t="s">
        <v>2583</v>
      </c>
      <c r="G275" s="624" t="s">
        <v>260</v>
      </c>
    </row>
    <row r="276" spans="1:7">
      <c r="A276" s="630" t="s">
        <v>995</v>
      </c>
      <c r="B276" s="572">
        <v>0</v>
      </c>
      <c r="C276" s="142">
        <v>0</v>
      </c>
      <c r="D276" s="581" t="s">
        <v>194</v>
      </c>
      <c r="E276" s="202" t="s">
        <v>194</v>
      </c>
      <c r="F276" s="629" t="s">
        <v>194</v>
      </c>
      <c r="G276" s="624" t="s">
        <v>194</v>
      </c>
    </row>
    <row r="277" spans="1:7" ht="20.25" customHeight="1">
      <c r="A277" s="630" t="s">
        <v>996</v>
      </c>
      <c r="B277" s="572">
        <v>0</v>
      </c>
      <c r="C277" s="142">
        <v>0</v>
      </c>
      <c r="D277" s="581">
        <v>76400</v>
      </c>
      <c r="E277" s="138" t="s">
        <v>2584</v>
      </c>
      <c r="F277" s="629" t="s">
        <v>2585</v>
      </c>
      <c r="G277" s="624" t="s">
        <v>260</v>
      </c>
    </row>
    <row r="278" spans="1:7" ht="17.25" customHeight="1">
      <c r="A278" s="630" t="s">
        <v>411</v>
      </c>
      <c r="B278" s="572">
        <v>1</v>
      </c>
      <c r="C278" s="142">
        <v>0</v>
      </c>
      <c r="D278" s="581">
        <v>62.5</v>
      </c>
      <c r="E278" s="138" t="s">
        <v>2586</v>
      </c>
      <c r="F278" s="629" t="s">
        <v>2587</v>
      </c>
      <c r="G278" s="624" t="s">
        <v>260</v>
      </c>
    </row>
    <row r="279" spans="1:7" ht="20.25" customHeight="1">
      <c r="A279" s="628" t="s">
        <v>1235</v>
      </c>
      <c r="B279" s="572">
        <v>4</v>
      </c>
      <c r="C279" s="142">
        <v>0</v>
      </c>
      <c r="D279" s="581">
        <v>334029</v>
      </c>
      <c r="E279" s="138" t="s">
        <v>2588</v>
      </c>
      <c r="F279" s="629" t="s">
        <v>2589</v>
      </c>
      <c r="G279" s="624" t="s">
        <v>260</v>
      </c>
    </row>
    <row r="280" spans="1:7" ht="20.25" customHeight="1">
      <c r="A280" s="630" t="s">
        <v>1392</v>
      </c>
      <c r="B280" s="572">
        <v>5</v>
      </c>
      <c r="C280" s="142">
        <v>0</v>
      </c>
      <c r="D280" s="581">
        <v>12000</v>
      </c>
      <c r="E280" s="138" t="s">
        <v>2590</v>
      </c>
      <c r="F280" s="629" t="s">
        <v>2591</v>
      </c>
      <c r="G280" s="624" t="s">
        <v>260</v>
      </c>
    </row>
    <row r="281" spans="1:7" ht="18" customHeight="1">
      <c r="A281" s="630" t="s">
        <v>1806</v>
      </c>
      <c r="B281" s="572">
        <v>5</v>
      </c>
      <c r="C281" s="142">
        <v>0</v>
      </c>
      <c r="D281" s="581">
        <v>9000</v>
      </c>
      <c r="E281" s="138" t="s">
        <v>2592</v>
      </c>
      <c r="F281" s="629" t="s">
        <v>2593</v>
      </c>
      <c r="G281" s="624" t="s">
        <v>260</v>
      </c>
    </row>
    <row r="282" spans="1:7" ht="18" customHeight="1">
      <c r="A282" s="630" t="s">
        <v>2594</v>
      </c>
      <c r="B282" s="572">
        <v>4.5</v>
      </c>
      <c r="C282" s="142">
        <v>0</v>
      </c>
      <c r="D282" s="581">
        <v>307017</v>
      </c>
      <c r="E282" s="138" t="s">
        <v>2595</v>
      </c>
      <c r="F282" s="629" t="s">
        <v>2596</v>
      </c>
      <c r="G282" s="624" t="s">
        <v>260</v>
      </c>
    </row>
    <row r="283" spans="1:7">
      <c r="A283" s="630" t="s">
        <v>1954</v>
      </c>
      <c r="B283" s="572">
        <v>1</v>
      </c>
      <c r="C283" s="142">
        <v>0</v>
      </c>
      <c r="D283" s="581" t="s">
        <v>194</v>
      </c>
      <c r="E283" s="202" t="s">
        <v>194</v>
      </c>
      <c r="F283" s="629" t="s">
        <v>194</v>
      </c>
    </row>
    <row r="284" spans="1:7" ht="17.25" customHeight="1">
      <c r="A284" s="630" t="s">
        <v>1577</v>
      </c>
      <c r="B284" s="572">
        <v>0</v>
      </c>
      <c r="C284" s="142">
        <v>0</v>
      </c>
      <c r="D284" s="581">
        <f>27.98*'Currency Conversion'!C4</f>
        <v>29.546880000000002</v>
      </c>
      <c r="E284" s="138" t="s">
        <v>2597</v>
      </c>
      <c r="F284" s="629" t="s">
        <v>2598</v>
      </c>
      <c r="G284" s="624" t="s">
        <v>260</v>
      </c>
    </row>
    <row r="285" spans="1:7" ht="18.75" customHeight="1">
      <c r="A285" s="630" t="s">
        <v>1576</v>
      </c>
      <c r="B285" s="572">
        <v>0</v>
      </c>
      <c r="C285" s="142">
        <v>0</v>
      </c>
      <c r="D285" s="581">
        <v>305</v>
      </c>
      <c r="E285" s="138" t="s">
        <v>2599</v>
      </c>
      <c r="F285" s="629" t="s">
        <v>2600</v>
      </c>
      <c r="G285" s="624" t="s">
        <v>260</v>
      </c>
    </row>
    <row r="286" spans="1:7" ht="21" customHeight="1">
      <c r="A286" s="630" t="s">
        <v>1575</v>
      </c>
      <c r="B286" s="572">
        <v>0</v>
      </c>
      <c r="C286" s="142">
        <v>0</v>
      </c>
      <c r="D286" s="581">
        <f>925*'Currency Conversion'!C4</f>
        <v>976.80000000000007</v>
      </c>
      <c r="E286" s="138" t="s">
        <v>2601</v>
      </c>
      <c r="F286" s="629" t="s">
        <v>2602</v>
      </c>
      <c r="G286" s="624" t="s">
        <v>260</v>
      </c>
    </row>
    <row r="287" spans="1:7" ht="19.5" customHeight="1">
      <c r="A287" s="630" t="s">
        <v>1569</v>
      </c>
      <c r="B287" s="572">
        <v>0</v>
      </c>
      <c r="C287" s="142">
        <v>0</v>
      </c>
      <c r="D287" s="581">
        <v>150</v>
      </c>
      <c r="E287" s="138" t="s">
        <v>2603</v>
      </c>
      <c r="F287" s="629" t="s">
        <v>2604</v>
      </c>
      <c r="G287" s="624" t="s">
        <v>260</v>
      </c>
    </row>
    <row r="288" spans="1:7">
      <c r="A288" s="630" t="s">
        <v>1388</v>
      </c>
      <c r="B288" s="572">
        <v>2.5</v>
      </c>
      <c r="C288" s="142">
        <v>1</v>
      </c>
      <c r="D288" s="581" t="s">
        <v>194</v>
      </c>
      <c r="E288" s="202" t="s">
        <v>194</v>
      </c>
      <c r="F288" s="629" t="s">
        <v>194</v>
      </c>
    </row>
    <row r="289" spans="1:7">
      <c r="A289" s="630" t="s">
        <v>2605</v>
      </c>
      <c r="B289" s="572">
        <v>0</v>
      </c>
      <c r="C289" s="142">
        <v>0</v>
      </c>
      <c r="D289" s="581" t="s">
        <v>194</v>
      </c>
      <c r="E289" s="202" t="s">
        <v>194</v>
      </c>
      <c r="F289" s="629" t="s">
        <v>194</v>
      </c>
    </row>
    <row r="290" spans="1:7" ht="18.75" customHeight="1">
      <c r="A290" s="630" t="s">
        <v>243</v>
      </c>
      <c r="B290" s="572">
        <v>3.5</v>
      </c>
      <c r="C290" s="142">
        <v>0</v>
      </c>
      <c r="D290" s="581">
        <v>3522</v>
      </c>
      <c r="E290" s="138" t="s">
        <v>2606</v>
      </c>
      <c r="F290" s="629" t="s">
        <v>2607</v>
      </c>
      <c r="G290" s="624" t="s">
        <v>260</v>
      </c>
    </row>
    <row r="291" spans="1:7" ht="15" customHeight="1">
      <c r="A291" s="630" t="s">
        <v>434</v>
      </c>
      <c r="B291" s="572">
        <v>1</v>
      </c>
      <c r="C291" s="142">
        <v>0</v>
      </c>
      <c r="D291" s="581">
        <v>350000</v>
      </c>
      <c r="E291" s="138" t="s">
        <v>2608</v>
      </c>
      <c r="F291" s="629" t="s">
        <v>2609</v>
      </c>
      <c r="G291" s="624" t="s">
        <v>260</v>
      </c>
    </row>
    <row r="292" spans="1:7" ht="17.25" customHeight="1">
      <c r="A292" s="630" t="s">
        <v>954</v>
      </c>
      <c r="B292" s="572">
        <v>4</v>
      </c>
      <c r="C292" s="142">
        <v>1</v>
      </c>
      <c r="D292" s="581">
        <v>964045</v>
      </c>
      <c r="E292" s="138" t="s">
        <v>2610</v>
      </c>
      <c r="F292" s="629" t="s">
        <v>2611</v>
      </c>
      <c r="G292" s="624" t="s">
        <v>260</v>
      </c>
    </row>
    <row r="293" spans="1:7" ht="17.25" customHeight="1">
      <c r="A293" s="630" t="s">
        <v>959</v>
      </c>
      <c r="B293" s="572">
        <v>3.5</v>
      </c>
      <c r="C293" s="142">
        <v>0</v>
      </c>
      <c r="D293" s="581">
        <v>2500</v>
      </c>
      <c r="E293" s="138" t="s">
        <v>2612</v>
      </c>
      <c r="F293" s="629" t="s">
        <v>2613</v>
      </c>
      <c r="G293" s="624" t="s">
        <v>260</v>
      </c>
    </row>
    <row r="294" spans="1:7" ht="18.75" customHeight="1">
      <c r="A294" s="630" t="s">
        <v>960</v>
      </c>
      <c r="B294" s="572">
        <v>2.5</v>
      </c>
      <c r="C294" s="142">
        <v>0</v>
      </c>
      <c r="D294" s="581">
        <v>0.57999999999999996</v>
      </c>
      <c r="E294" s="138" t="s">
        <v>2614</v>
      </c>
      <c r="F294" s="629" t="s">
        <v>2615</v>
      </c>
      <c r="G294" s="624" t="s">
        <v>260</v>
      </c>
    </row>
    <row r="295" spans="1:7" ht="17.25" customHeight="1">
      <c r="A295" s="630" t="s">
        <v>1638</v>
      </c>
      <c r="B295" s="572">
        <v>4</v>
      </c>
      <c r="C295" s="142">
        <v>0</v>
      </c>
      <c r="D295" s="581">
        <v>1266191</v>
      </c>
      <c r="E295" s="138" t="s">
        <v>2616</v>
      </c>
      <c r="F295" s="629" t="s">
        <v>2617</v>
      </c>
      <c r="G295" s="624" t="s">
        <v>194</v>
      </c>
    </row>
    <row r="296" spans="1:7" ht="17.25" customHeight="1">
      <c r="A296" s="630" t="s">
        <v>1643</v>
      </c>
      <c r="B296" s="572">
        <v>4.5</v>
      </c>
      <c r="C296" s="142">
        <v>0</v>
      </c>
      <c r="D296" s="581">
        <v>100000</v>
      </c>
      <c r="E296" s="138" t="s">
        <v>2618</v>
      </c>
      <c r="F296" s="629" t="s">
        <v>2619</v>
      </c>
      <c r="G296" s="624" t="s">
        <v>260</v>
      </c>
    </row>
    <row r="297" spans="1:7">
      <c r="A297" s="630" t="s">
        <v>1682</v>
      </c>
      <c r="B297" s="572">
        <v>4.5</v>
      </c>
      <c r="C297" s="142">
        <v>0</v>
      </c>
      <c r="D297" s="581" t="s">
        <v>194</v>
      </c>
      <c r="E297" s="549" t="s">
        <v>194</v>
      </c>
      <c r="F297" s="629" t="s">
        <v>194</v>
      </c>
      <c r="G297" s="624" t="s">
        <v>194</v>
      </c>
    </row>
    <row r="298" spans="1:7" ht="15.75" customHeight="1">
      <c r="A298" s="630" t="s">
        <v>1683</v>
      </c>
      <c r="B298" s="572">
        <v>2</v>
      </c>
      <c r="C298" s="142">
        <v>0</v>
      </c>
      <c r="D298" s="581">
        <v>9800</v>
      </c>
      <c r="E298" s="138" t="s">
        <v>2620</v>
      </c>
      <c r="F298" s="629" t="s">
        <v>2621</v>
      </c>
      <c r="G298" s="624" t="s">
        <v>260</v>
      </c>
    </row>
    <row r="299" spans="1:7" ht="20.25" customHeight="1">
      <c r="A299" s="616" t="s">
        <v>1810</v>
      </c>
      <c r="B299" s="572">
        <v>4</v>
      </c>
      <c r="C299" s="142">
        <v>0</v>
      </c>
      <c r="D299" s="581">
        <v>2300000</v>
      </c>
      <c r="E299" s="201" t="s">
        <v>2557</v>
      </c>
      <c r="F299" s="433" t="s">
        <v>194</v>
      </c>
      <c r="G299" s="47" t="s">
        <v>260</v>
      </c>
    </row>
    <row r="300" spans="1:7" ht="20.25" customHeight="1">
      <c r="A300" s="616" t="s">
        <v>1812</v>
      </c>
      <c r="B300" s="572">
        <v>4.5</v>
      </c>
      <c r="C300" s="142">
        <v>0</v>
      </c>
      <c r="D300" s="581">
        <v>625000</v>
      </c>
      <c r="E300" s="138" t="s">
        <v>2622</v>
      </c>
      <c r="F300" s="629" t="s">
        <v>2623</v>
      </c>
      <c r="G300" s="624" t="s">
        <v>260</v>
      </c>
    </row>
    <row r="301" spans="1:7">
      <c r="A301" s="616" t="s">
        <v>300</v>
      </c>
      <c r="B301" s="577">
        <v>0</v>
      </c>
      <c r="C301" s="143">
        <v>0</v>
      </c>
      <c r="D301" s="581" t="s">
        <v>194</v>
      </c>
      <c r="E301" s="202" t="s">
        <v>194</v>
      </c>
      <c r="F301" s="629" t="s">
        <v>2624</v>
      </c>
      <c r="G301" s="624" t="s">
        <v>194</v>
      </c>
    </row>
    <row r="302" spans="1:7" ht="19.5" customHeight="1">
      <c r="A302" s="616" t="s">
        <v>301</v>
      </c>
      <c r="B302" s="577">
        <v>0</v>
      </c>
      <c r="C302" s="143">
        <v>0</v>
      </c>
      <c r="D302" s="581">
        <v>3.5000000000000003E-2</v>
      </c>
      <c r="E302" s="138" t="s">
        <v>2440</v>
      </c>
      <c r="F302" s="629" t="s">
        <v>2625</v>
      </c>
      <c r="G302" s="624" t="s">
        <v>260</v>
      </c>
    </row>
    <row r="303" spans="1:7" ht="15.75" customHeight="1">
      <c r="A303" s="620" t="s">
        <v>1126</v>
      </c>
      <c r="B303" s="577">
        <v>0</v>
      </c>
      <c r="C303" s="143">
        <v>0</v>
      </c>
      <c r="D303" s="581" t="s">
        <v>2626</v>
      </c>
      <c r="E303" s="138" t="s">
        <v>1127</v>
      </c>
      <c r="F303" s="629" t="s">
        <v>2627</v>
      </c>
      <c r="G303" s="624" t="s">
        <v>260</v>
      </c>
    </row>
    <row r="304" spans="1:7" ht="18" customHeight="1">
      <c r="A304" s="620" t="s">
        <v>1128</v>
      </c>
      <c r="B304" s="577">
        <v>0</v>
      </c>
      <c r="C304" s="143">
        <v>0</v>
      </c>
      <c r="D304" s="581" t="s">
        <v>2628</v>
      </c>
      <c r="E304" s="138" t="s">
        <v>1127</v>
      </c>
      <c r="F304" s="629" t="s">
        <v>2629</v>
      </c>
      <c r="G304" s="624" t="s">
        <v>260</v>
      </c>
    </row>
    <row r="305" spans="1:7">
      <c r="A305" s="189" t="s">
        <v>223</v>
      </c>
      <c r="B305" s="577">
        <v>1</v>
      </c>
      <c r="C305" s="143">
        <v>0</v>
      </c>
      <c r="D305" s="581" t="s">
        <v>194</v>
      </c>
      <c r="E305" s="202" t="s">
        <v>194</v>
      </c>
      <c r="F305" s="629" t="s">
        <v>194</v>
      </c>
      <c r="G305" s="624" t="s">
        <v>194</v>
      </c>
    </row>
    <row r="306" spans="1:7">
      <c r="A306" s="189" t="s">
        <v>228</v>
      </c>
      <c r="B306" s="577">
        <v>5</v>
      </c>
      <c r="C306" s="142">
        <v>0</v>
      </c>
      <c r="D306" s="581" t="s">
        <v>194</v>
      </c>
      <c r="E306" s="202" t="s">
        <v>194</v>
      </c>
      <c r="F306" s="629" t="s">
        <v>194</v>
      </c>
      <c r="G306" s="624" t="s">
        <v>194</v>
      </c>
    </row>
    <row r="307" spans="1:7">
      <c r="A307" s="189" t="s">
        <v>229</v>
      </c>
      <c r="B307" s="577">
        <v>3</v>
      </c>
      <c r="C307" s="142">
        <v>0</v>
      </c>
      <c r="D307" s="581" t="s">
        <v>194</v>
      </c>
      <c r="E307" s="202" t="s">
        <v>194</v>
      </c>
      <c r="F307" s="629" t="s">
        <v>194</v>
      </c>
      <c r="G307" s="624" t="s">
        <v>194</v>
      </c>
    </row>
    <row r="308" spans="1:7">
      <c r="A308" s="189" t="s">
        <v>231</v>
      </c>
      <c r="B308" s="577">
        <v>0</v>
      </c>
      <c r="C308" s="143">
        <v>0</v>
      </c>
      <c r="D308" s="581" t="s">
        <v>194</v>
      </c>
      <c r="E308" s="202" t="s">
        <v>194</v>
      </c>
      <c r="F308" s="629" t="s">
        <v>194</v>
      </c>
      <c r="G308" s="624" t="s">
        <v>194</v>
      </c>
    </row>
    <row r="309" spans="1:7" ht="19.5" customHeight="1">
      <c r="A309" s="630" t="s">
        <v>1421</v>
      </c>
      <c r="B309" s="577">
        <v>1</v>
      </c>
      <c r="C309" s="143">
        <v>0</v>
      </c>
      <c r="D309" s="581">
        <v>40</v>
      </c>
      <c r="E309" s="138" t="s">
        <v>2630</v>
      </c>
      <c r="F309" s="629" t="s">
        <v>2631</v>
      </c>
      <c r="G309" s="624" t="s">
        <v>260</v>
      </c>
    </row>
    <row r="310" spans="1:7" ht="16.5" customHeight="1">
      <c r="A310" s="630" t="s">
        <v>1422</v>
      </c>
      <c r="B310" s="577">
        <v>2</v>
      </c>
      <c r="C310" s="142">
        <v>0</v>
      </c>
      <c r="D310" s="594">
        <v>1808.97</v>
      </c>
      <c r="E310" s="138" t="s">
        <v>2632</v>
      </c>
      <c r="F310" s="629" t="s">
        <v>2633</v>
      </c>
      <c r="G310" s="624" t="s">
        <v>260</v>
      </c>
    </row>
    <row r="311" spans="1:7" ht="17.25" customHeight="1">
      <c r="A311" s="630" t="s">
        <v>1430</v>
      </c>
      <c r="B311" s="577">
        <v>1</v>
      </c>
      <c r="C311" s="142">
        <v>0</v>
      </c>
      <c r="D311" s="581">
        <v>533100</v>
      </c>
      <c r="E311" s="138" t="s">
        <v>2634</v>
      </c>
      <c r="F311" s="629" t="s">
        <v>2635</v>
      </c>
      <c r="G311" s="624" t="s">
        <v>260</v>
      </c>
    </row>
    <row r="312" spans="1:7" ht="18.75" customHeight="1">
      <c r="A312" s="630" t="s">
        <v>614</v>
      </c>
      <c r="B312" s="577">
        <v>0</v>
      </c>
      <c r="C312" s="143">
        <v>0</v>
      </c>
      <c r="D312" s="581">
        <v>0.04</v>
      </c>
      <c r="E312" s="138" t="s">
        <v>2636</v>
      </c>
      <c r="F312" s="629"/>
      <c r="G312" s="624" t="s">
        <v>260</v>
      </c>
    </row>
    <row r="313" spans="1:7" ht="14.25" customHeight="1">
      <c r="A313" s="630" t="s">
        <v>616</v>
      </c>
      <c r="B313" s="577">
        <v>0</v>
      </c>
      <c r="C313" s="143">
        <v>0</v>
      </c>
      <c r="D313" s="581">
        <v>13.2</v>
      </c>
      <c r="E313" s="138" t="s">
        <v>2637</v>
      </c>
      <c r="F313" s="629" t="s">
        <v>2638</v>
      </c>
      <c r="G313" s="624" t="s">
        <v>260</v>
      </c>
    </row>
    <row r="314" spans="1:7" ht="16.5" customHeight="1">
      <c r="A314" s="630" t="s">
        <v>1809</v>
      </c>
      <c r="B314" s="577">
        <v>5.5</v>
      </c>
      <c r="C314" s="142">
        <v>0</v>
      </c>
      <c r="D314" s="581">
        <v>1311400</v>
      </c>
      <c r="E314" s="138" t="s">
        <v>2639</v>
      </c>
      <c r="F314" s="629" t="s">
        <v>2640</v>
      </c>
      <c r="G314" s="624" t="s">
        <v>260</v>
      </c>
    </row>
    <row r="315" spans="1:7" ht="18" customHeight="1">
      <c r="A315" s="619" t="s">
        <v>1334</v>
      </c>
      <c r="B315" s="577">
        <v>4</v>
      </c>
      <c r="C315" s="142">
        <v>0</v>
      </c>
      <c r="D315" s="581">
        <v>7500000</v>
      </c>
      <c r="E315" s="138" t="s">
        <v>2641</v>
      </c>
      <c r="F315" s="629" t="s">
        <v>2642</v>
      </c>
      <c r="G315" s="624" t="s">
        <v>260</v>
      </c>
    </row>
    <row r="316" spans="1:7">
      <c r="A316" s="618" t="s">
        <v>1339</v>
      </c>
      <c r="B316" s="577">
        <v>4.5</v>
      </c>
      <c r="C316" s="142">
        <v>0</v>
      </c>
      <c r="D316" s="581" t="s">
        <v>194</v>
      </c>
      <c r="F316" s="629"/>
      <c r="G316" s="624" t="s">
        <v>260</v>
      </c>
    </row>
    <row r="317" spans="1:7">
      <c r="A317" s="618" t="s">
        <v>1340</v>
      </c>
      <c r="B317" s="577">
        <v>4.5</v>
      </c>
      <c r="C317" s="142">
        <v>0</v>
      </c>
      <c r="D317" s="581" t="s">
        <v>194</v>
      </c>
      <c r="F317" s="629"/>
      <c r="G317" s="624" t="s">
        <v>260</v>
      </c>
    </row>
    <row r="318" spans="1:7" ht="20.25" customHeight="1">
      <c r="A318" s="618" t="s">
        <v>2643</v>
      </c>
      <c r="B318" s="577">
        <v>4.5</v>
      </c>
      <c r="C318" s="142">
        <v>0</v>
      </c>
      <c r="D318" s="585">
        <v>3890</v>
      </c>
      <c r="E318" s="204" t="s">
        <v>194</v>
      </c>
      <c r="F318" s="636" t="s">
        <v>2644</v>
      </c>
      <c r="G318" s="47" t="s">
        <v>260</v>
      </c>
    </row>
    <row r="319" spans="1:7">
      <c r="A319" s="630" t="s">
        <v>1914</v>
      </c>
      <c r="B319" s="577">
        <v>1</v>
      </c>
      <c r="C319" s="143">
        <v>0</v>
      </c>
      <c r="D319" s="581" t="s">
        <v>194</v>
      </c>
      <c r="E319" s="202" t="s">
        <v>194</v>
      </c>
      <c r="F319" s="629" t="s">
        <v>194</v>
      </c>
      <c r="G319" s="624" t="s">
        <v>194</v>
      </c>
    </row>
    <row r="320" spans="1:7" ht="20.25" customHeight="1">
      <c r="A320" s="630" t="s">
        <v>688</v>
      </c>
      <c r="B320" s="577">
        <v>1</v>
      </c>
      <c r="C320" s="143">
        <v>0</v>
      </c>
      <c r="D320" s="581">
        <v>94462</v>
      </c>
      <c r="E320" s="138" t="s">
        <v>2645</v>
      </c>
      <c r="F320" s="629" t="s">
        <v>2646</v>
      </c>
      <c r="G320" s="624" t="s">
        <v>260</v>
      </c>
    </row>
    <row r="321" spans="1:7">
      <c r="A321" s="630" t="s">
        <v>1799</v>
      </c>
      <c r="B321" s="577">
        <v>4</v>
      </c>
      <c r="C321" s="143">
        <v>0</v>
      </c>
      <c r="D321" s="581" t="s">
        <v>194</v>
      </c>
      <c r="E321" s="202" t="s">
        <v>194</v>
      </c>
      <c r="F321" s="629" t="s">
        <v>194</v>
      </c>
      <c r="G321" s="624" t="s">
        <v>194</v>
      </c>
    </row>
    <row r="322" spans="1:7" ht="23.25" customHeight="1">
      <c r="A322" s="630" t="s">
        <v>710</v>
      </c>
      <c r="B322" s="577">
        <v>0</v>
      </c>
      <c r="C322" s="143">
        <v>0</v>
      </c>
      <c r="D322" s="581">
        <v>95</v>
      </c>
      <c r="E322" s="138" t="s">
        <v>2647</v>
      </c>
      <c r="F322" s="629" t="s">
        <v>2648</v>
      </c>
      <c r="G322" s="624" t="s">
        <v>260</v>
      </c>
    </row>
    <row r="323" spans="1:7">
      <c r="A323" s="630" t="s">
        <v>442</v>
      </c>
      <c r="B323" s="577">
        <v>4.5</v>
      </c>
      <c r="C323" s="143">
        <v>0</v>
      </c>
      <c r="D323" s="581">
        <v>704613.12</v>
      </c>
      <c r="E323" s="558" t="s">
        <v>2649</v>
      </c>
      <c r="F323" s="630" t="s">
        <v>2650</v>
      </c>
      <c r="G323" s="624" t="s">
        <v>260</v>
      </c>
    </row>
    <row r="324" spans="1:7">
      <c r="A324" s="630" t="s">
        <v>454</v>
      </c>
      <c r="B324" s="577">
        <v>4</v>
      </c>
      <c r="C324" s="143">
        <v>0</v>
      </c>
      <c r="D324" s="581">
        <v>4362766.0199999996</v>
      </c>
      <c r="E324" s="558" t="s">
        <v>2651</v>
      </c>
      <c r="F324" s="630" t="s">
        <v>2652</v>
      </c>
      <c r="G324" s="624" t="s">
        <v>260</v>
      </c>
    </row>
    <row r="325" spans="1:7">
      <c r="A325" s="535" t="s">
        <v>1959</v>
      </c>
      <c r="B325" s="578">
        <v>4.5</v>
      </c>
      <c r="C325" s="774">
        <v>0</v>
      </c>
      <c r="D325" s="596" t="s">
        <v>194</v>
      </c>
      <c r="E325" s="550" t="s">
        <v>194</v>
      </c>
      <c r="F325" s="541" t="s">
        <v>194</v>
      </c>
      <c r="G325" s="720" t="s">
        <v>194</v>
      </c>
    </row>
    <row r="326" spans="1:7">
      <c r="A326" s="611" t="s">
        <v>1920</v>
      </c>
      <c r="B326" s="578">
        <v>4.5</v>
      </c>
      <c r="C326" s="774">
        <v>0</v>
      </c>
      <c r="D326" s="597" t="s">
        <v>194</v>
      </c>
      <c r="E326" s="551" t="s">
        <v>194</v>
      </c>
      <c r="F326" s="542" t="s">
        <v>194</v>
      </c>
      <c r="G326" s="721" t="s">
        <v>194</v>
      </c>
    </row>
    <row r="327" spans="1:7">
      <c r="A327" s="611" t="s">
        <v>1922</v>
      </c>
      <c r="B327" s="578">
        <v>4.5</v>
      </c>
      <c r="C327" s="774">
        <v>1</v>
      </c>
      <c r="D327" s="597" t="s">
        <v>194</v>
      </c>
      <c r="E327" s="551" t="s">
        <v>194</v>
      </c>
      <c r="F327" s="542" t="s">
        <v>194</v>
      </c>
      <c r="G327" s="721" t="s">
        <v>194</v>
      </c>
    </row>
    <row r="328" spans="1:7">
      <c r="A328" s="611" t="s">
        <v>1923</v>
      </c>
      <c r="B328" s="578">
        <v>3</v>
      </c>
      <c r="C328" s="774">
        <v>0</v>
      </c>
      <c r="D328" s="597" t="s">
        <v>194</v>
      </c>
      <c r="E328" s="551" t="s">
        <v>194</v>
      </c>
      <c r="F328" s="542" t="s">
        <v>194</v>
      </c>
      <c r="G328" s="721" t="s">
        <v>194</v>
      </c>
    </row>
    <row r="329" spans="1:7">
      <c r="A329" s="611" t="s">
        <v>1924</v>
      </c>
      <c r="B329" s="578">
        <v>4.5</v>
      </c>
      <c r="C329" s="774">
        <v>0</v>
      </c>
      <c r="D329" s="597" t="s">
        <v>194</v>
      </c>
      <c r="E329" s="551" t="s">
        <v>194</v>
      </c>
      <c r="F329" s="542" t="s">
        <v>194</v>
      </c>
      <c r="G329" s="721" t="s">
        <v>194</v>
      </c>
    </row>
    <row r="330" spans="1:7">
      <c r="A330" s="611" t="s">
        <v>1925</v>
      </c>
      <c r="B330" s="578">
        <v>4.5</v>
      </c>
      <c r="C330" s="774">
        <v>1</v>
      </c>
      <c r="D330" s="597" t="s">
        <v>194</v>
      </c>
      <c r="E330" s="551" t="s">
        <v>194</v>
      </c>
      <c r="F330" s="542" t="s">
        <v>194</v>
      </c>
      <c r="G330" s="721" t="s">
        <v>194</v>
      </c>
    </row>
    <row r="331" spans="1:7">
      <c r="A331" s="611" t="s">
        <v>1926</v>
      </c>
      <c r="B331" s="578">
        <v>4.5</v>
      </c>
      <c r="C331" s="774">
        <v>1</v>
      </c>
      <c r="D331" s="597" t="s">
        <v>194</v>
      </c>
      <c r="E331" s="551" t="s">
        <v>194</v>
      </c>
      <c r="F331" s="542" t="s">
        <v>194</v>
      </c>
      <c r="G331" s="721" t="s">
        <v>194</v>
      </c>
    </row>
    <row r="332" spans="1:7">
      <c r="A332" s="611" t="s">
        <v>1927</v>
      </c>
      <c r="B332" s="578">
        <v>4.5</v>
      </c>
      <c r="C332" s="774">
        <v>0</v>
      </c>
      <c r="D332" s="597" t="s">
        <v>194</v>
      </c>
      <c r="E332" s="551" t="s">
        <v>194</v>
      </c>
      <c r="F332" s="542" t="s">
        <v>194</v>
      </c>
      <c r="G332" s="721" t="s">
        <v>194</v>
      </c>
    </row>
    <row r="333" spans="1:7">
      <c r="A333" s="611" t="s">
        <v>1928</v>
      </c>
      <c r="B333" s="578">
        <v>3</v>
      </c>
      <c r="C333" s="774">
        <v>0</v>
      </c>
      <c r="D333" s="597" t="s">
        <v>194</v>
      </c>
      <c r="E333" s="551" t="s">
        <v>194</v>
      </c>
      <c r="F333" s="542" t="s">
        <v>194</v>
      </c>
      <c r="G333" s="721" t="s">
        <v>194</v>
      </c>
    </row>
    <row r="334" spans="1:7">
      <c r="A334" s="611" t="s">
        <v>1929</v>
      </c>
      <c r="B334" s="578">
        <v>2.5</v>
      </c>
      <c r="C334" s="774">
        <v>0</v>
      </c>
      <c r="D334" s="597" t="s">
        <v>194</v>
      </c>
      <c r="E334" s="551" t="s">
        <v>194</v>
      </c>
      <c r="F334" s="542" t="s">
        <v>194</v>
      </c>
      <c r="G334" s="721" t="s">
        <v>194</v>
      </c>
    </row>
    <row r="335" spans="1:7">
      <c r="A335" s="611" t="s">
        <v>1930</v>
      </c>
      <c r="B335" s="578">
        <v>4.5</v>
      </c>
      <c r="C335" s="774">
        <v>1</v>
      </c>
      <c r="D335" s="597" t="s">
        <v>194</v>
      </c>
      <c r="E335" s="551" t="s">
        <v>194</v>
      </c>
      <c r="F335" s="542" t="s">
        <v>194</v>
      </c>
      <c r="G335" s="721" t="s">
        <v>194</v>
      </c>
    </row>
    <row r="336" spans="1:7">
      <c r="A336" s="611" t="s">
        <v>1931</v>
      </c>
      <c r="B336" s="578">
        <v>4.5</v>
      </c>
      <c r="C336" s="774">
        <v>0</v>
      </c>
      <c r="D336" s="597" t="s">
        <v>194</v>
      </c>
      <c r="E336" s="551" t="s">
        <v>194</v>
      </c>
      <c r="F336" s="542" t="s">
        <v>194</v>
      </c>
      <c r="G336" s="721" t="s">
        <v>194</v>
      </c>
    </row>
    <row r="337" spans="1:7">
      <c r="A337" s="611" t="s">
        <v>2653</v>
      </c>
      <c r="B337" s="578">
        <v>4</v>
      </c>
      <c r="C337" s="774">
        <v>0</v>
      </c>
      <c r="D337" s="597" t="s">
        <v>194</v>
      </c>
      <c r="E337" s="551" t="s">
        <v>194</v>
      </c>
      <c r="F337" s="542" t="s">
        <v>194</v>
      </c>
      <c r="G337" s="721" t="s">
        <v>194</v>
      </c>
    </row>
    <row r="338" spans="1:7" ht="17.25" customHeight="1">
      <c r="A338" s="611" t="s">
        <v>1963</v>
      </c>
      <c r="B338" s="578">
        <v>3.5</v>
      </c>
      <c r="C338" s="774">
        <v>0</v>
      </c>
      <c r="D338" s="597">
        <v>400</v>
      </c>
      <c r="E338" s="136" t="s">
        <v>2654</v>
      </c>
      <c r="F338" s="542" t="s">
        <v>194</v>
      </c>
      <c r="G338" s="721" t="s">
        <v>194</v>
      </c>
    </row>
    <row r="339" spans="1:7" ht="19.5" customHeight="1">
      <c r="A339" s="611" t="s">
        <v>1964</v>
      </c>
      <c r="B339" s="578">
        <v>4</v>
      </c>
      <c r="C339" s="774">
        <v>0</v>
      </c>
      <c r="D339" s="724">
        <v>20000000</v>
      </c>
      <c r="E339" s="136" t="s">
        <v>2655</v>
      </c>
      <c r="F339" s="542" t="s">
        <v>194</v>
      </c>
      <c r="G339" s="721" t="s">
        <v>260</v>
      </c>
    </row>
    <row r="340" spans="1:7">
      <c r="A340" s="611" t="s">
        <v>1988</v>
      </c>
      <c r="B340" s="578">
        <v>4</v>
      </c>
      <c r="C340" s="774">
        <v>0</v>
      </c>
      <c r="D340" s="597">
        <v>15000000</v>
      </c>
      <c r="E340" s="320" t="s">
        <v>2655</v>
      </c>
      <c r="F340" s="542" t="s">
        <v>194</v>
      </c>
      <c r="G340" s="719" t="s">
        <v>260</v>
      </c>
    </row>
    <row r="341" spans="1:7">
      <c r="A341" s="611" t="s">
        <v>1990</v>
      </c>
      <c r="B341" s="578">
        <v>2</v>
      </c>
      <c r="C341" s="774">
        <v>0</v>
      </c>
      <c r="D341" s="597" t="s">
        <v>194</v>
      </c>
      <c r="E341" s="551" t="s">
        <v>194</v>
      </c>
      <c r="F341" s="542" t="s">
        <v>194</v>
      </c>
      <c r="G341" s="721" t="s">
        <v>194</v>
      </c>
    </row>
    <row r="342" spans="1:7">
      <c r="A342" s="611" t="s">
        <v>1991</v>
      </c>
      <c r="B342" s="578">
        <v>1</v>
      </c>
      <c r="C342" s="774">
        <v>0</v>
      </c>
      <c r="D342" s="597" t="s">
        <v>194</v>
      </c>
      <c r="E342" s="551" t="s">
        <v>194</v>
      </c>
      <c r="F342" s="542" t="s">
        <v>194</v>
      </c>
      <c r="G342" s="721" t="s">
        <v>194</v>
      </c>
    </row>
    <row r="343" spans="1:7">
      <c r="A343" s="611" t="s">
        <v>1992</v>
      </c>
      <c r="B343" s="578">
        <v>1</v>
      </c>
      <c r="C343" s="774">
        <v>0</v>
      </c>
      <c r="D343" s="597" t="s">
        <v>194</v>
      </c>
      <c r="E343" s="551" t="s">
        <v>194</v>
      </c>
      <c r="F343" s="542" t="s">
        <v>194</v>
      </c>
      <c r="G343" s="721" t="s">
        <v>194</v>
      </c>
    </row>
    <row r="344" spans="1:7">
      <c r="A344" s="611" t="s">
        <v>1993</v>
      </c>
      <c r="B344" s="578">
        <v>1</v>
      </c>
      <c r="C344" s="774">
        <v>0</v>
      </c>
      <c r="D344" s="597" t="s">
        <v>194</v>
      </c>
      <c r="E344" s="551" t="s">
        <v>194</v>
      </c>
      <c r="F344" s="542" t="s">
        <v>194</v>
      </c>
      <c r="G344" s="721" t="s">
        <v>194</v>
      </c>
    </row>
    <row r="345" spans="1:7">
      <c r="A345" s="611" t="s">
        <v>1994</v>
      </c>
      <c r="B345" s="578">
        <v>2</v>
      </c>
      <c r="C345" s="774">
        <v>0</v>
      </c>
      <c r="D345" s="597" t="s">
        <v>194</v>
      </c>
      <c r="E345" s="551" t="s">
        <v>194</v>
      </c>
      <c r="F345" s="542" t="s">
        <v>194</v>
      </c>
      <c r="G345" s="721" t="s">
        <v>194</v>
      </c>
    </row>
    <row r="346" spans="1:7" ht="14.25" customHeight="1">
      <c r="A346" s="611" t="s">
        <v>2656</v>
      </c>
      <c r="B346" s="578">
        <v>5</v>
      </c>
      <c r="C346" s="774">
        <v>1</v>
      </c>
      <c r="D346" s="597">
        <v>17900000</v>
      </c>
      <c r="E346" s="136" t="s">
        <v>2657</v>
      </c>
      <c r="F346" s="543" t="s">
        <v>2658</v>
      </c>
      <c r="G346" s="721" t="s">
        <v>260</v>
      </c>
    </row>
    <row r="347" spans="1:7" ht="17.25" customHeight="1">
      <c r="A347" s="611" t="s">
        <v>1544</v>
      </c>
      <c r="B347" s="578">
        <v>3</v>
      </c>
      <c r="C347" s="774">
        <v>0</v>
      </c>
      <c r="D347" s="597">
        <v>1000</v>
      </c>
      <c r="E347" s="136" t="s">
        <v>2659</v>
      </c>
      <c r="F347" s="542" t="s">
        <v>194</v>
      </c>
      <c r="G347" s="721" t="s">
        <v>260</v>
      </c>
    </row>
    <row r="348" spans="1:7" ht="17.25" customHeight="1">
      <c r="A348" s="611" t="s">
        <v>869</v>
      </c>
      <c r="B348" s="578">
        <v>1</v>
      </c>
      <c r="C348" s="774">
        <v>0</v>
      </c>
      <c r="D348" s="597">
        <v>60000</v>
      </c>
      <c r="E348" s="551" t="s">
        <v>2240</v>
      </c>
      <c r="F348" s="542" t="s">
        <v>2660</v>
      </c>
      <c r="G348" s="721" t="s">
        <v>21</v>
      </c>
    </row>
    <row r="349" spans="1:7" ht="18.75" customHeight="1">
      <c r="A349" s="533" t="s">
        <v>872</v>
      </c>
      <c r="B349" s="578">
        <v>1</v>
      </c>
      <c r="C349" s="774">
        <v>0</v>
      </c>
      <c r="D349" s="598">
        <v>7.37</v>
      </c>
      <c r="E349" s="136" t="s">
        <v>2661</v>
      </c>
      <c r="F349" s="542" t="s">
        <v>2662</v>
      </c>
      <c r="G349" s="722" t="s">
        <v>260</v>
      </c>
    </row>
    <row r="350" spans="1:7" ht="16.5" customHeight="1">
      <c r="A350" s="533" t="s">
        <v>874</v>
      </c>
      <c r="B350" s="578">
        <v>1</v>
      </c>
      <c r="C350" s="774">
        <v>0</v>
      </c>
      <c r="D350" s="599" t="s">
        <v>194</v>
      </c>
      <c r="E350" s="551" t="s">
        <v>2661</v>
      </c>
      <c r="F350" s="543" t="s">
        <v>2663</v>
      </c>
      <c r="G350" s="722" t="s">
        <v>194</v>
      </c>
    </row>
    <row r="351" spans="1:7" ht="15.75" customHeight="1">
      <c r="A351" s="533" t="s">
        <v>875</v>
      </c>
      <c r="B351" s="578">
        <v>1</v>
      </c>
      <c r="C351" s="774">
        <v>0</v>
      </c>
      <c r="D351" s="599">
        <v>43.1</v>
      </c>
      <c r="E351" s="789" t="s">
        <v>2664</v>
      </c>
      <c r="F351" s="544" t="s">
        <v>2665</v>
      </c>
      <c r="G351" s="774" t="s">
        <v>260</v>
      </c>
    </row>
    <row r="352" spans="1:7" ht="14.25" customHeight="1">
      <c r="A352" s="534" t="s">
        <v>877</v>
      </c>
      <c r="B352" s="578">
        <v>1</v>
      </c>
      <c r="C352" s="774">
        <v>0</v>
      </c>
      <c r="D352" s="600" t="s">
        <v>194</v>
      </c>
      <c r="E352" s="821" t="s">
        <v>194</v>
      </c>
      <c r="F352" s="545" t="s">
        <v>2666</v>
      </c>
      <c r="G352" s="774" t="s">
        <v>194</v>
      </c>
    </row>
    <row r="353" spans="1:7" ht="16.5" customHeight="1">
      <c r="A353" s="820" t="s">
        <v>878</v>
      </c>
      <c r="B353" s="578">
        <v>1</v>
      </c>
      <c r="C353" s="774">
        <v>0</v>
      </c>
      <c r="D353" s="601">
        <v>3000</v>
      </c>
      <c r="E353" s="808" t="s">
        <v>2667</v>
      </c>
      <c r="F353" s="545" t="s">
        <v>194</v>
      </c>
      <c r="G353" s="774" t="s">
        <v>194</v>
      </c>
    </row>
    <row r="354" spans="1:7" ht="17.25" customHeight="1">
      <c r="A354" s="820" t="s">
        <v>879</v>
      </c>
      <c r="B354" s="578">
        <v>1</v>
      </c>
      <c r="C354" s="774">
        <v>0</v>
      </c>
      <c r="D354" s="601">
        <v>11.99</v>
      </c>
      <c r="E354" s="808" t="s">
        <v>2668</v>
      </c>
      <c r="F354" s="546" t="s">
        <v>2669</v>
      </c>
      <c r="G354" s="774" t="s">
        <v>260</v>
      </c>
    </row>
    <row r="355" spans="1:7" ht="14.25" customHeight="1">
      <c r="A355" s="820" t="s">
        <v>880</v>
      </c>
      <c r="B355" s="578">
        <v>1</v>
      </c>
      <c r="C355" s="774">
        <v>0</v>
      </c>
      <c r="D355" s="601">
        <v>126.69</v>
      </c>
      <c r="E355" s="552" t="s">
        <v>2670</v>
      </c>
      <c r="F355" s="546" t="s">
        <v>2671</v>
      </c>
      <c r="G355" s="774" t="s">
        <v>260</v>
      </c>
    </row>
    <row r="356" spans="1:7">
      <c r="A356" s="820" t="s">
        <v>881</v>
      </c>
      <c r="B356" s="578">
        <v>1</v>
      </c>
      <c r="C356" s="774">
        <v>0</v>
      </c>
      <c r="D356" s="601">
        <v>50</v>
      </c>
      <c r="E356" s="552" t="s">
        <v>2672</v>
      </c>
      <c r="F356" s="547" t="s">
        <v>194</v>
      </c>
      <c r="G356" s="774" t="s">
        <v>194</v>
      </c>
    </row>
    <row r="357" spans="1:7" ht="15" customHeight="1">
      <c r="A357" s="820" t="s">
        <v>882</v>
      </c>
      <c r="B357" s="578">
        <v>1</v>
      </c>
      <c r="C357" s="774">
        <v>0</v>
      </c>
      <c r="D357" s="599">
        <v>36.799999999999997</v>
      </c>
      <c r="E357" s="808" t="s">
        <v>2673</v>
      </c>
      <c r="F357" s="547" t="s">
        <v>2674</v>
      </c>
      <c r="G357" s="774" t="s">
        <v>260</v>
      </c>
    </row>
    <row r="358" spans="1:7" ht="15" customHeight="1">
      <c r="A358" s="820" t="s">
        <v>883</v>
      </c>
      <c r="B358" s="578">
        <v>1</v>
      </c>
      <c r="C358" s="774">
        <v>0</v>
      </c>
      <c r="D358" s="599">
        <v>5578947.4000000004</v>
      </c>
      <c r="E358" s="808" t="s">
        <v>2675</v>
      </c>
      <c r="F358" s="546" t="s">
        <v>2676</v>
      </c>
      <c r="G358" s="774" t="s">
        <v>260</v>
      </c>
    </row>
    <row r="359" spans="1:7" ht="17.25" customHeight="1">
      <c r="A359" s="161" t="s">
        <v>889</v>
      </c>
      <c r="B359" s="578">
        <v>3</v>
      </c>
      <c r="C359" s="774">
        <v>0</v>
      </c>
      <c r="D359" s="599">
        <v>5800</v>
      </c>
      <c r="E359" s="808" t="s">
        <v>2677</v>
      </c>
      <c r="F359" s="547"/>
      <c r="G359" s="774" t="s">
        <v>260</v>
      </c>
    </row>
    <row r="360" spans="1:7" ht="15.75" customHeight="1">
      <c r="A360" s="820" t="s">
        <v>884</v>
      </c>
      <c r="B360" s="578">
        <v>1</v>
      </c>
      <c r="C360" s="774">
        <v>0</v>
      </c>
      <c r="D360" s="599">
        <v>11.95</v>
      </c>
      <c r="E360" s="808" t="s">
        <v>2668</v>
      </c>
      <c r="F360" s="547"/>
      <c r="G360" s="774" t="s">
        <v>260</v>
      </c>
    </row>
    <row r="361" spans="1:7" ht="16.5" customHeight="1">
      <c r="A361" s="820" t="s">
        <v>885</v>
      </c>
      <c r="B361" s="578">
        <v>1</v>
      </c>
      <c r="C361" s="774">
        <v>0</v>
      </c>
      <c r="D361" s="601" t="s">
        <v>194</v>
      </c>
      <c r="E361" s="821" t="s">
        <v>194</v>
      </c>
      <c r="F361" s="545" t="s">
        <v>2666</v>
      </c>
      <c r="G361" s="774" t="s">
        <v>194</v>
      </c>
    </row>
    <row r="362" spans="1:7">
      <c r="A362" s="820" t="s">
        <v>886</v>
      </c>
      <c r="B362" s="578">
        <v>1</v>
      </c>
      <c r="C362" s="774">
        <v>0</v>
      </c>
      <c r="D362" s="601" t="s">
        <v>194</v>
      </c>
      <c r="E362" s="821" t="s">
        <v>194</v>
      </c>
      <c r="F362" s="547" t="s">
        <v>194</v>
      </c>
      <c r="G362" s="774" t="s">
        <v>194</v>
      </c>
    </row>
    <row r="363" spans="1:7">
      <c r="A363" s="820" t="s">
        <v>887</v>
      </c>
      <c r="B363" s="578">
        <v>1</v>
      </c>
      <c r="C363" s="774">
        <v>0</v>
      </c>
      <c r="D363" s="601">
        <v>1153.7</v>
      </c>
      <c r="E363" s="552" t="s">
        <v>2678</v>
      </c>
      <c r="F363" s="547" t="s">
        <v>2679</v>
      </c>
      <c r="G363" s="774" t="s">
        <v>260</v>
      </c>
    </row>
    <row r="364" spans="1:7">
      <c r="A364" s="820" t="s">
        <v>2680</v>
      </c>
      <c r="B364" s="578">
        <v>1</v>
      </c>
      <c r="C364" s="774">
        <v>0</v>
      </c>
      <c r="D364" s="601" t="s">
        <v>194</v>
      </c>
      <c r="E364" s="821" t="s">
        <v>194</v>
      </c>
      <c r="F364" s="547" t="s">
        <v>194</v>
      </c>
      <c r="G364" s="774" t="s">
        <v>194</v>
      </c>
    </row>
    <row r="365" spans="1:7">
      <c r="A365" s="820" t="s">
        <v>888</v>
      </c>
      <c r="B365" s="578">
        <v>1</v>
      </c>
      <c r="C365" s="774">
        <v>0</v>
      </c>
      <c r="D365" s="601" t="s">
        <v>194</v>
      </c>
      <c r="E365" s="821" t="s">
        <v>194</v>
      </c>
      <c r="F365" s="547" t="s">
        <v>194</v>
      </c>
      <c r="G365" s="774" t="s">
        <v>194</v>
      </c>
    </row>
    <row r="366" spans="1:7">
      <c r="A366" s="535" t="s">
        <v>866</v>
      </c>
      <c r="B366" s="578">
        <v>4.5</v>
      </c>
      <c r="C366" s="774">
        <v>0</v>
      </c>
      <c r="D366" s="601">
        <v>2000</v>
      </c>
      <c r="E366" s="552" t="s">
        <v>2681</v>
      </c>
      <c r="F366" s="547" t="s">
        <v>2682</v>
      </c>
      <c r="G366" s="774" t="s">
        <v>260</v>
      </c>
    </row>
    <row r="367" spans="1:7" ht="15.75" customHeight="1">
      <c r="A367" s="611" t="s">
        <v>890</v>
      </c>
      <c r="B367" s="578">
        <v>4.5</v>
      </c>
      <c r="C367" s="774">
        <v>0</v>
      </c>
      <c r="D367" s="601">
        <v>2000</v>
      </c>
      <c r="E367" s="552" t="s">
        <v>2683</v>
      </c>
      <c r="F367" s="548" t="s">
        <v>2684</v>
      </c>
      <c r="G367" s="720" t="s">
        <v>21</v>
      </c>
    </row>
    <row r="368" spans="1:7" ht="14.25" customHeight="1">
      <c r="A368" s="611" t="s">
        <v>907</v>
      </c>
      <c r="B368" s="578">
        <v>2.5</v>
      </c>
      <c r="C368" s="774">
        <v>0</v>
      </c>
      <c r="D368" s="599">
        <v>0.7</v>
      </c>
      <c r="E368" s="553" t="s">
        <v>2315</v>
      </c>
      <c r="F368" s="542" t="s">
        <v>907</v>
      </c>
      <c r="G368" s="721" t="s">
        <v>260</v>
      </c>
    </row>
    <row r="369" spans="1:7">
      <c r="A369" s="610" t="s">
        <v>908</v>
      </c>
      <c r="B369" s="579">
        <v>1</v>
      </c>
      <c r="C369" s="774">
        <v>0</v>
      </c>
      <c r="D369" s="591">
        <v>397</v>
      </c>
      <c r="E369" s="552" t="s">
        <v>2685</v>
      </c>
      <c r="F369" s="547" t="s">
        <v>194</v>
      </c>
      <c r="G369" s="774" t="s">
        <v>260</v>
      </c>
    </row>
    <row r="370" spans="1:7" ht="17.25" customHeight="1">
      <c r="A370" s="610" t="s">
        <v>909</v>
      </c>
      <c r="B370" s="580">
        <v>1</v>
      </c>
      <c r="C370" s="774">
        <v>0</v>
      </c>
      <c r="D370" s="602">
        <v>1147443.2</v>
      </c>
      <c r="E370" s="552" t="s">
        <v>2686</v>
      </c>
      <c r="F370" s="546" t="s">
        <v>2687</v>
      </c>
      <c r="G370" s="774" t="s">
        <v>260</v>
      </c>
    </row>
    <row r="371" spans="1:7">
      <c r="A371" s="610" t="s">
        <v>910</v>
      </c>
      <c r="B371" s="580">
        <v>1</v>
      </c>
      <c r="C371" s="774">
        <v>0</v>
      </c>
      <c r="D371" s="602" t="s">
        <v>194</v>
      </c>
      <c r="E371" s="821" t="s">
        <v>194</v>
      </c>
      <c r="F371" s="547" t="s">
        <v>194</v>
      </c>
      <c r="G371" s="774" t="s">
        <v>194</v>
      </c>
    </row>
    <row r="372" spans="1:7" ht="15.75" customHeight="1">
      <c r="A372" s="610" t="s">
        <v>892</v>
      </c>
      <c r="B372" s="580">
        <v>1</v>
      </c>
      <c r="C372" s="774">
        <v>0</v>
      </c>
      <c r="D372" s="602">
        <v>1688.6</v>
      </c>
      <c r="E372" s="808" t="s">
        <v>2688</v>
      </c>
      <c r="F372" s="547" t="s">
        <v>2689</v>
      </c>
      <c r="G372" s="774" t="s">
        <v>194</v>
      </c>
    </row>
    <row r="373" spans="1:7">
      <c r="A373" s="610" t="s">
        <v>912</v>
      </c>
      <c r="B373" s="580">
        <v>1</v>
      </c>
      <c r="C373" s="774">
        <v>0</v>
      </c>
      <c r="D373" s="602" t="s">
        <v>194</v>
      </c>
      <c r="E373" s="821" t="s">
        <v>194</v>
      </c>
      <c r="F373" s="547" t="s">
        <v>2663</v>
      </c>
      <c r="G373" s="774" t="s">
        <v>260</v>
      </c>
    </row>
    <row r="374" spans="1:7">
      <c r="A374" s="610" t="s">
        <v>913</v>
      </c>
      <c r="B374" s="580">
        <v>1</v>
      </c>
      <c r="C374" s="774">
        <v>0</v>
      </c>
      <c r="D374" s="601">
        <v>9.93</v>
      </c>
      <c r="E374" s="552" t="s">
        <v>2690</v>
      </c>
      <c r="F374" s="547" t="s">
        <v>2691</v>
      </c>
      <c r="G374" s="774" t="s">
        <v>260</v>
      </c>
    </row>
    <row r="375" spans="1:7">
      <c r="A375" s="610" t="s">
        <v>914</v>
      </c>
      <c r="B375" s="580">
        <v>1</v>
      </c>
      <c r="C375" s="774">
        <v>0</v>
      </c>
      <c r="D375" s="601">
        <v>11578.3</v>
      </c>
      <c r="E375" s="552" t="s">
        <v>2692</v>
      </c>
      <c r="F375" s="547" t="s">
        <v>2693</v>
      </c>
      <c r="G375" s="774" t="s">
        <v>260</v>
      </c>
    </row>
    <row r="376" spans="1:7">
      <c r="A376" s="610" t="s">
        <v>915</v>
      </c>
      <c r="B376" s="580">
        <v>3</v>
      </c>
      <c r="C376" s="774">
        <v>0</v>
      </c>
      <c r="D376" s="601" t="s">
        <v>194</v>
      </c>
      <c r="E376" s="821" t="s">
        <v>194</v>
      </c>
      <c r="F376" s="547" t="s">
        <v>194</v>
      </c>
      <c r="G376" s="774" t="s">
        <v>194</v>
      </c>
    </row>
    <row r="377" spans="1:7">
      <c r="A377" s="610" t="s">
        <v>893</v>
      </c>
      <c r="B377" s="580">
        <v>4</v>
      </c>
      <c r="C377" s="774">
        <v>0</v>
      </c>
      <c r="D377" s="591" t="s">
        <v>194</v>
      </c>
      <c r="E377" s="821" t="s">
        <v>194</v>
      </c>
      <c r="F377" s="547" t="s">
        <v>194</v>
      </c>
      <c r="G377" s="774" t="s">
        <v>194</v>
      </c>
    </row>
    <row r="378" spans="1:7">
      <c r="A378" s="610" t="s">
        <v>916</v>
      </c>
      <c r="B378" s="580">
        <v>1</v>
      </c>
      <c r="C378" s="774">
        <v>0</v>
      </c>
      <c r="D378" s="602" t="s">
        <v>194</v>
      </c>
      <c r="E378" s="821" t="s">
        <v>194</v>
      </c>
      <c r="F378" s="547" t="s">
        <v>194</v>
      </c>
      <c r="G378" s="774" t="s">
        <v>194</v>
      </c>
    </row>
    <row r="379" spans="1:7">
      <c r="A379" s="610" t="s">
        <v>917</v>
      </c>
      <c r="B379" s="580">
        <v>1</v>
      </c>
      <c r="C379" s="774">
        <v>0</v>
      </c>
      <c r="D379" s="602">
        <v>41.01</v>
      </c>
      <c r="E379" s="552" t="s">
        <v>2694</v>
      </c>
      <c r="F379" s="547" t="s">
        <v>2695</v>
      </c>
      <c r="G379" s="774" t="s">
        <v>194</v>
      </c>
    </row>
    <row r="380" spans="1:7">
      <c r="A380" s="610" t="s">
        <v>2696</v>
      </c>
      <c r="B380" s="580">
        <v>0</v>
      </c>
      <c r="C380" s="536">
        <v>0</v>
      </c>
      <c r="D380" s="603">
        <v>31.5</v>
      </c>
      <c r="E380" s="552" t="s">
        <v>2697</v>
      </c>
      <c r="F380" s="547" t="s">
        <v>2698</v>
      </c>
      <c r="G380" s="774" t="s">
        <v>260</v>
      </c>
    </row>
    <row r="381" spans="1:7" ht="17.25" customHeight="1">
      <c r="A381" s="610" t="s">
        <v>865</v>
      </c>
      <c r="B381" s="580">
        <v>2.5</v>
      </c>
      <c r="C381" s="537">
        <v>0</v>
      </c>
      <c r="D381" s="604">
        <v>0.85</v>
      </c>
      <c r="E381" s="553" t="s">
        <v>2412</v>
      </c>
      <c r="F381" s="546" t="s">
        <v>2699</v>
      </c>
      <c r="G381" s="723"/>
    </row>
    <row r="382" spans="1:7" ht="15" customHeight="1">
      <c r="A382" s="630" t="s">
        <v>2143</v>
      </c>
      <c r="B382" s="577">
        <v>4</v>
      </c>
      <c r="C382" s="143">
        <v>1</v>
      </c>
      <c r="D382" s="581">
        <v>6880000</v>
      </c>
      <c r="E382" s="138" t="s">
        <v>2700</v>
      </c>
      <c r="F382" s="623" t="s">
        <v>2701</v>
      </c>
      <c r="G382" s="624" t="s">
        <v>194</v>
      </c>
    </row>
    <row r="383" spans="1:7" ht="15" customHeight="1">
      <c r="A383" s="630" t="s">
        <v>2139</v>
      </c>
      <c r="B383" s="572">
        <v>4</v>
      </c>
      <c r="C383" s="142">
        <v>1</v>
      </c>
      <c r="D383" s="583">
        <v>30000</v>
      </c>
      <c r="E383" s="171" t="s">
        <v>2252</v>
      </c>
      <c r="F383" s="629" t="s">
        <v>2702</v>
      </c>
      <c r="G383" s="47" t="s">
        <v>260</v>
      </c>
    </row>
    <row r="384" spans="1:7">
      <c r="A384" s="630" t="s">
        <v>2140</v>
      </c>
      <c r="B384" s="572">
        <v>4</v>
      </c>
      <c r="C384" s="142">
        <v>1</v>
      </c>
      <c r="D384" s="581">
        <v>500000</v>
      </c>
      <c r="E384" s="171" t="s">
        <v>2451</v>
      </c>
      <c r="F384" s="430" t="s">
        <v>2703</v>
      </c>
      <c r="G384" s="47" t="s">
        <v>260</v>
      </c>
    </row>
    <row r="385" spans="1:7" ht="18.75" customHeight="1">
      <c r="A385" s="718" t="s">
        <v>1540</v>
      </c>
      <c r="B385" s="577">
        <v>5</v>
      </c>
      <c r="C385" s="143">
        <v>1</v>
      </c>
      <c r="D385" s="581">
        <v>10130000</v>
      </c>
      <c r="E385" s="202" t="s">
        <v>2704</v>
      </c>
      <c r="F385" s="623" t="s">
        <v>2705</v>
      </c>
      <c r="G385" s="624" t="s">
        <v>194</v>
      </c>
    </row>
    <row r="386" spans="1:7">
      <c r="A386" s="630" t="s">
        <v>1808</v>
      </c>
      <c r="B386" s="577">
        <v>1</v>
      </c>
      <c r="C386" s="143">
        <v>0</v>
      </c>
      <c r="D386" s="581" t="s">
        <v>194</v>
      </c>
      <c r="E386" s="202" t="s">
        <v>194</v>
      </c>
      <c r="F386" s="623" t="s">
        <v>194</v>
      </c>
      <c r="G386" s="624" t="s">
        <v>194</v>
      </c>
    </row>
    <row r="387" spans="1:7" ht="31.5">
      <c r="A387" s="630" t="s">
        <v>1985</v>
      </c>
      <c r="B387" s="727">
        <v>4</v>
      </c>
      <c r="C387" s="728">
        <v>0</v>
      </c>
      <c r="D387" s="581">
        <v>50000000</v>
      </c>
      <c r="E387" s="138" t="s">
        <v>2706</v>
      </c>
      <c r="F387" s="623" t="s">
        <v>194</v>
      </c>
      <c r="G387" s="624" t="s">
        <v>260</v>
      </c>
    </row>
    <row r="388" spans="1:7">
      <c r="A388" s="630"/>
      <c r="F388" s="623"/>
    </row>
    <row r="389" spans="1:7">
      <c r="A389" s="630"/>
      <c r="F389" s="623"/>
    </row>
    <row r="390" spans="1:7">
      <c r="A390" s="630"/>
      <c r="F390" s="623"/>
    </row>
    <row r="391" spans="1:7">
      <c r="A391" s="630"/>
      <c r="F391" s="623"/>
    </row>
    <row r="392" spans="1:7">
      <c r="A392" s="630"/>
      <c r="F392" s="623"/>
    </row>
  </sheetData>
  <autoFilter ref="A1:G321" xr:uid="{00000000-0009-0000-0000-000007000000}"/>
  <hyperlinks>
    <hyperlink ref="E118" r:id="rId1" xr:uid="{00000000-0004-0000-0700-000000000000}"/>
    <hyperlink ref="E85" r:id="rId2" xr:uid="{00000000-0004-0000-0700-000001000000}"/>
    <hyperlink ref="E7" r:id="rId3" xr:uid="{00000000-0004-0000-0700-000002000000}"/>
    <hyperlink ref="E81" r:id="rId4" xr:uid="{00000000-0004-0000-0700-000003000000}"/>
    <hyperlink ref="E147" r:id="rId5" xr:uid="{00000000-0004-0000-0700-000004000000}"/>
    <hyperlink ref="E68" r:id="rId6" xr:uid="{00000000-0004-0000-0700-000005000000}"/>
    <hyperlink ref="E104" r:id="rId7" xr:uid="{00000000-0004-0000-0700-000006000000}"/>
    <hyperlink ref="E70" r:id="rId8" xr:uid="{00000000-0004-0000-0700-000007000000}"/>
    <hyperlink ref="E96" r:id="rId9" xr:uid="{00000000-0004-0000-0700-000008000000}"/>
    <hyperlink ref="E170" r:id="rId10" xr:uid="{00000000-0004-0000-0700-000009000000}"/>
    <hyperlink ref="E45" r:id="rId11" xr:uid="{00000000-0004-0000-0700-00000A000000}"/>
    <hyperlink ref="E29" r:id="rId12" location="Export_(Military/LE)" xr:uid="{00000000-0004-0000-0700-00000B000000}"/>
    <hyperlink ref="E15" r:id="rId13" xr:uid="{00000000-0004-0000-0700-00000C000000}"/>
    <hyperlink ref="E186" r:id="rId14" xr:uid="{00000000-0004-0000-0700-00000D000000}"/>
    <hyperlink ref="E183" r:id="rId15" xr:uid="{00000000-0004-0000-0700-00000E000000}"/>
    <hyperlink ref="E92" r:id="rId16" xr:uid="{00000000-0004-0000-0700-00000F000000}"/>
    <hyperlink ref="E16" r:id="rId17" xr:uid="{00000000-0004-0000-0700-000010000000}"/>
    <hyperlink ref="E58" r:id="rId18" xr:uid="{00000000-0004-0000-0700-000011000000}"/>
    <hyperlink ref="E142" r:id="rId19" xr:uid="{00000000-0004-0000-0700-000012000000}"/>
    <hyperlink ref="E182" r:id="rId20" xr:uid="{00000000-0004-0000-0700-000013000000}"/>
    <hyperlink ref="E107" r:id="rId21" xr:uid="{00000000-0004-0000-0700-000014000000}"/>
    <hyperlink ref="E95" r:id="rId22" xr:uid="{00000000-0004-0000-0700-000015000000}"/>
    <hyperlink ref="E32" r:id="rId23" xr:uid="{00000000-0004-0000-0700-000016000000}"/>
    <hyperlink ref="E49" r:id="rId24" xr:uid="{00000000-0004-0000-0700-000017000000}"/>
    <hyperlink ref="E169" r:id="rId25" xr:uid="{00000000-0004-0000-0700-000018000000}"/>
    <hyperlink ref="E109" r:id="rId26" xr:uid="{00000000-0004-0000-0700-000019000000}"/>
    <hyperlink ref="E149" r:id="rId27" xr:uid="{00000000-0004-0000-0700-00001A000000}"/>
    <hyperlink ref="E167" r:id="rId28" xr:uid="{00000000-0004-0000-0700-00001B000000}"/>
    <hyperlink ref="E88" r:id="rId29" xr:uid="{00000000-0004-0000-0700-00001C000000}"/>
    <hyperlink ref="E30" r:id="rId30" xr:uid="{00000000-0004-0000-0700-00001D000000}"/>
    <hyperlink ref="E176" r:id="rId31" xr:uid="{00000000-0004-0000-0700-00001E000000}"/>
    <hyperlink ref="E66" r:id="rId32" xr:uid="{00000000-0004-0000-0700-00001F000000}"/>
    <hyperlink ref="E144" r:id="rId33" xr:uid="{00000000-0004-0000-0700-000020000000}"/>
    <hyperlink ref="E65" r:id="rId34" xr:uid="{00000000-0004-0000-0700-000021000000}"/>
    <hyperlink ref="E138" r:id="rId35" xr:uid="{00000000-0004-0000-0700-000022000000}"/>
    <hyperlink ref="E105" r:id="rId36" xr:uid="{00000000-0004-0000-0700-000023000000}"/>
    <hyperlink ref="E115" r:id="rId37" xr:uid="{00000000-0004-0000-0700-000024000000}"/>
    <hyperlink ref="E156" r:id="rId38" xr:uid="{00000000-0004-0000-0700-000025000000}"/>
    <hyperlink ref="E44" r:id="rId39" xr:uid="{00000000-0004-0000-0700-000026000000}"/>
    <hyperlink ref="E168" r:id="rId40" xr:uid="{00000000-0004-0000-0700-000027000000}"/>
    <hyperlink ref="E93" r:id="rId41" xr:uid="{00000000-0004-0000-0700-000028000000}"/>
    <hyperlink ref="E64" r:id="rId42" xr:uid="{00000000-0004-0000-0700-000029000000}"/>
    <hyperlink ref="E90" r:id="rId43" xr:uid="{00000000-0004-0000-0700-00002A000000}"/>
    <hyperlink ref="E62" r:id="rId44" xr:uid="{00000000-0004-0000-0700-00002B000000}"/>
    <hyperlink ref="E133" r:id="rId45" xr:uid="{00000000-0004-0000-0700-00002C000000}"/>
    <hyperlink ref="E31" r:id="rId46" xr:uid="{00000000-0004-0000-0700-00002D000000}"/>
    <hyperlink ref="E181" r:id="rId47" display="https://www.globalpetrolprices.com/gasoline_prices/" xr:uid="{00000000-0004-0000-0700-00002E000000}"/>
    <hyperlink ref="E61" r:id="rId48" location=":~:text=Anyways%2C%20you%20can%20buy%20a,on%20a%20great%20little%20rifle" xr:uid="{00000000-0004-0000-0700-00002F000000}"/>
    <hyperlink ref="E162" r:id="rId49" xr:uid="{00000000-0004-0000-0700-000030000000}"/>
    <hyperlink ref="E134" r:id="rId50" xr:uid="{00000000-0004-0000-0700-000031000000}"/>
    <hyperlink ref="E6" r:id="rId51" xr:uid="{00000000-0004-0000-0700-000032000000}"/>
    <hyperlink ref="E39" r:id="rId52" xr:uid="{00000000-0004-0000-0700-000033000000}"/>
    <hyperlink ref="E40" r:id="rId53" xr:uid="{00000000-0004-0000-0700-000034000000}"/>
    <hyperlink ref="E158" r:id="rId54" xr:uid="{00000000-0004-0000-0700-000035000000}"/>
    <hyperlink ref="E114" r:id="rId55" xr:uid="{00000000-0004-0000-0700-000036000000}"/>
    <hyperlink ref="E145" r:id="rId56" xr:uid="{00000000-0004-0000-0700-000037000000}"/>
    <hyperlink ref="F45" r:id="rId57" display="https://en.wikipedia.org/wiki/Meal,_Ready-to-Eat" xr:uid="{00000000-0004-0000-0700-000038000000}"/>
    <hyperlink ref="F15" r:id="rId58" display="https://en.wikipedia.org/wiki/Comparison_of_the_AK-47_and_M16" xr:uid="{00000000-0004-0000-0700-000039000000}"/>
    <hyperlink ref="F186" r:id="rId59" display="https://hcpresources.medtronic.com/blog/high-acuity-ventilator-cost-guide" xr:uid="{00000000-0004-0000-0700-00003A000000}"/>
    <hyperlink ref="E154" r:id="rId60" xr:uid="{00000000-0004-0000-0700-00003B000000}"/>
    <hyperlink ref="E151" r:id="rId61" xr:uid="{00000000-0004-0000-0700-00003C000000}"/>
    <hyperlink ref="E112" r:id="rId62" location=":~:text=It%20is%20estimated%20that%20there,them%20is%20%24300%20to%20%241000." xr:uid="{00000000-0004-0000-0700-00003D000000}"/>
    <hyperlink ref="E53" r:id="rId63" display="https://www.pmulcahy.com/explosives/explosives.html" xr:uid="{00000000-0004-0000-0700-00003E000000}"/>
    <hyperlink ref="E91" r:id="rId64" display="https://www.ebay.de/itm/261421940408" xr:uid="{00000000-0004-0000-0700-00003F000000}"/>
    <hyperlink ref="E51" r:id="rId65" location=":~:text=Der%20Einsatz%20von%20Linearladungen%20%28Sprengschnur%29%20stellt%20hier%20eine,Kosten%20von%2018%20Cent%20f%C3%BCr%20jeden%20vernichteten%20Datentr%C3%A4ger." xr:uid="{00000000-0004-0000-0700-000040000000}"/>
    <hyperlink ref="E155" r:id="rId66" xr:uid="{00000000-0004-0000-0700-000041000000}"/>
    <hyperlink ref="E139" r:id="rId67" xr:uid="{00000000-0004-0000-0700-000042000000}"/>
    <hyperlink ref="E99" r:id="rId68" xr:uid="{00000000-0004-0000-0700-000043000000}"/>
    <hyperlink ref="E173" r:id="rId69" xr:uid="{00000000-0004-0000-0700-000044000000}"/>
    <hyperlink ref="E35" r:id="rId70" xr:uid="{00000000-0004-0000-0700-000045000000}"/>
    <hyperlink ref="E120" r:id="rId71" xr:uid="{00000000-0004-0000-0700-000046000000}"/>
    <hyperlink ref="E71" r:id="rId72" xr:uid="{00000000-0004-0000-0700-000047000000}"/>
    <hyperlink ref="E3" r:id="rId73" xr:uid="{00000000-0004-0000-0700-000048000000}"/>
    <hyperlink ref="E5" r:id="rId74" xr:uid="{00000000-0004-0000-0700-000049000000}"/>
    <hyperlink ref="E8" r:id="rId75" xr:uid="{00000000-0004-0000-0700-00004A000000}"/>
    <hyperlink ref="E9" r:id="rId76" xr:uid="{00000000-0004-0000-0700-00004B000000}"/>
    <hyperlink ref="E10" r:id="rId77" xr:uid="{00000000-0004-0000-0700-00004C000000}"/>
    <hyperlink ref="E11" r:id="rId78" xr:uid="{00000000-0004-0000-0700-00004D000000}"/>
    <hyperlink ref="E12" r:id="rId79" xr:uid="{00000000-0004-0000-0700-00004E000000}"/>
    <hyperlink ref="E18" r:id="rId80" xr:uid="{00000000-0004-0000-0700-00004F000000}"/>
    <hyperlink ref="E19" r:id="rId81" xr:uid="{00000000-0004-0000-0700-000050000000}"/>
    <hyperlink ref="E20" r:id="rId82" xr:uid="{00000000-0004-0000-0700-000051000000}"/>
    <hyperlink ref="E84" r:id="rId83" xr:uid="{00000000-0004-0000-0700-000052000000}"/>
    <hyperlink ref="E22" r:id="rId84" xr:uid="{00000000-0004-0000-0700-000053000000}"/>
    <hyperlink ref="E23" r:id="rId85" xr:uid="{00000000-0004-0000-0700-000054000000}"/>
    <hyperlink ref="E26" r:id="rId86" xr:uid="{00000000-0004-0000-0700-000055000000}"/>
    <hyperlink ref="E27" r:id="rId87" location=":~:text=Buying%20an%20armored%20car%20is,while%20others%20need%20special%20work" xr:uid="{00000000-0004-0000-0700-000056000000}"/>
    <hyperlink ref="E36" r:id="rId88" xr:uid="{00000000-0004-0000-0700-000057000000}"/>
    <hyperlink ref="E43" r:id="rId89" xr:uid="{00000000-0004-0000-0700-000058000000}"/>
    <hyperlink ref="E47" r:id="rId90" xr:uid="{00000000-0004-0000-0700-000059000000}"/>
    <hyperlink ref="E48" r:id="rId91" xr:uid="{00000000-0004-0000-0700-00005A000000}"/>
    <hyperlink ref="E73" r:id="rId92" xr:uid="{00000000-0004-0000-0700-00005B000000}"/>
    <hyperlink ref="E60" r:id="rId93" location=":~:text=Fly%20Eye%20%E2%80%93%20%24149.99&amp;text=Trim%2Fstabilization%20adjustment.,-Camera%20%E2%80%93%20Wi%2DFi" xr:uid="{00000000-0004-0000-0700-00005C000000}"/>
    <hyperlink ref="E69" r:id="rId94" xr:uid="{00000000-0004-0000-0700-00005D000000}"/>
    <hyperlink ref="E87" r:id="rId95" xr:uid="{00000000-0004-0000-0700-00005E000000}"/>
    <hyperlink ref="E89" r:id="rId96" xr:uid="{00000000-0004-0000-0700-00005F000000}"/>
    <hyperlink ref="E102" r:id="rId97" location=":~:text=The%20unit%20cost%20of%20a,to%20A3%20costs%20%24160%20000" xr:uid="{00000000-0004-0000-0700-000060000000}"/>
    <hyperlink ref="E110" r:id="rId98" location=":~:text=Overall%2C%2063%20Mi%2D17s%20were,52%20Mi%2D171E%2C%20respectively" xr:uid="{00000000-0004-0000-0700-000061000000}"/>
    <hyperlink ref="E119" r:id="rId99" xr:uid="{00000000-0004-0000-0700-000062000000}"/>
    <hyperlink ref="E157" r:id="rId100" xr:uid="{00000000-0004-0000-0700-000063000000}"/>
    <hyperlink ref="E161" r:id="rId101" xr:uid="{00000000-0004-0000-0700-000064000000}"/>
    <hyperlink ref="E191" r:id="rId102" xr:uid="{00000000-0004-0000-0700-000065000000}"/>
    <hyperlink ref="E193" r:id="rId103" xr:uid="{00000000-0004-0000-0700-000066000000}"/>
    <hyperlink ref="E201" r:id="rId104" display="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xr:uid="{00000000-0004-0000-0700-000067000000}"/>
    <hyperlink ref="E202" r:id="rId105" xr:uid="{00000000-0004-0000-0700-000068000000}"/>
    <hyperlink ref="E203" r:id="rId106" xr:uid="{00000000-0004-0000-0700-000069000000}"/>
    <hyperlink ref="E204" r:id="rId107" xr:uid="{00000000-0004-0000-0700-00006A000000}"/>
    <hyperlink ref="E205" r:id="rId108" xr:uid="{00000000-0004-0000-0700-00006B000000}"/>
    <hyperlink ref="E206" r:id="rId109" xr:uid="{00000000-0004-0000-0700-00006C000000}"/>
    <hyperlink ref="E207" r:id="rId110" xr:uid="{00000000-0004-0000-0700-00006D000000}"/>
    <hyperlink ref="E208" r:id="rId111" xr:uid="{00000000-0004-0000-0700-00006E000000}"/>
    <hyperlink ref="E209" r:id="rId112" xr:uid="{00000000-0004-0000-0700-00006F000000}"/>
    <hyperlink ref="E210" r:id="rId113" xr:uid="{00000000-0004-0000-0700-000070000000}"/>
    <hyperlink ref="E192" r:id="rId114" xr:uid="{00000000-0004-0000-0700-000071000000}"/>
    <hyperlink ref="E215" r:id="rId115" xr:uid="{00000000-0004-0000-0700-000072000000}"/>
    <hyperlink ref="E216" r:id="rId116" xr:uid="{00000000-0004-0000-0700-000073000000}"/>
    <hyperlink ref="E153" r:id="rId117" xr:uid="{00000000-0004-0000-0700-000074000000}"/>
    <hyperlink ref="E217" r:id="rId118" xr:uid="{00000000-0004-0000-0700-000075000000}"/>
    <hyperlink ref="E214" r:id="rId119" location=":~:text=The%20average%20construction%20costs%20for,built%20in%20a%20larger%20city" xr:uid="{00000000-0004-0000-0700-000076000000}"/>
    <hyperlink ref="E227" r:id="rId120" xr:uid="{00000000-0004-0000-0700-000077000000}"/>
    <hyperlink ref="E211" r:id="rId121" xr:uid="{00000000-0004-0000-0700-000078000000}"/>
    <hyperlink ref="E226" r:id="rId122" xr:uid="{00000000-0004-0000-0700-000079000000}"/>
    <hyperlink ref="E232" r:id="rId123" xr:uid="{00000000-0004-0000-0700-00007A000000}"/>
    <hyperlink ref="E231" r:id="rId124" xr:uid="{00000000-0004-0000-0700-00007B000000}"/>
    <hyperlink ref="E236" r:id="rId125" location=":~:text=La%20Junta%20de%20Contrataci%C3%B3n%20del,unitario%20de%202.099%2C35%20euros" xr:uid="{00000000-0004-0000-0700-00007C000000}"/>
    <hyperlink ref="E239" r:id="rId126" xr:uid="{00000000-0004-0000-0700-00007D000000}"/>
    <hyperlink ref="E244" r:id="rId127" location=":~:text=A%20simple%20bush%20fire%20truck%20can%20cost%20%2490%2C000,again%2C%20depending%20on%20its%20outfitting%20and%20the%20type" xr:uid="{00000000-0004-0000-0700-00007E000000}"/>
    <hyperlink ref="E245" r:id="rId128" xr:uid="{00000000-0004-0000-0700-00007F000000}"/>
    <hyperlink ref="E246" r:id="rId129" location=":~:text=AS%2D90%20was%20designed%20and,the%20British%20Army%20in%201993" xr:uid="{00000000-0004-0000-0700-000080000000}"/>
    <hyperlink ref="E248" r:id="rId130" xr:uid="{00000000-0004-0000-0700-000081000000}"/>
    <hyperlink ref="E257" r:id="rId131" xr:uid="{00000000-0004-0000-0700-000082000000}"/>
    <hyperlink ref="E258" r:id="rId132" xr:uid="{00000000-0004-0000-0700-000083000000}"/>
    <hyperlink ref="E174" r:id="rId133" xr:uid="{00000000-0004-0000-0700-000084000000}"/>
    <hyperlink ref="E80" r:id="rId134" xr:uid="{00000000-0004-0000-0700-000085000000}"/>
    <hyperlink ref="E268" r:id="rId135" xr:uid="{00000000-0004-0000-0700-000086000000}"/>
    <hyperlink ref="E250" r:id="rId136" xr:uid="{00000000-0004-0000-0700-000087000000}"/>
    <hyperlink ref="E251" r:id="rId137" xr:uid="{00000000-0004-0000-0700-000088000000}"/>
    <hyperlink ref="E269" r:id="rId138" xr:uid="{00000000-0004-0000-0700-000089000000}"/>
    <hyperlink ref="E270" r:id="rId139" location=":~:text=In%202002%2C%20a%20single%20Javelin%20command%20launch%20unit,cost%20at%20%24206%2C705.%20Click%20to%20see%20full%20answer" xr:uid="{00000000-0004-0000-0700-00008A000000}"/>
    <hyperlink ref="E117" r:id="rId140" xr:uid="{00000000-0004-0000-0700-00008B000000}"/>
    <hyperlink ref="E196" r:id="rId141" xr:uid="{00000000-0004-0000-0700-00008C000000}"/>
    <hyperlink ref="E148" r:id="rId142" location=":~:text=Unit%20cost%3A%20%24329%20(Fiscal%20Year%202002).&amp;text=The%20M766%2060mm%20mortar%20cartridge,the%2060mm%20mortar%20training%20strategy." xr:uid="{00000000-0004-0000-0700-00008D000000}"/>
    <hyperlink ref="E50" r:id="rId143" xr:uid="{00000000-0004-0000-0700-00008E000000}"/>
    <hyperlink ref="E172" r:id="rId144" xr:uid="{00000000-0004-0000-0700-00008F000000}"/>
    <hyperlink ref="E177" r:id="rId145" xr:uid="{00000000-0004-0000-0700-000090000000}"/>
    <hyperlink ref="E271" r:id="rId146" location=":~:text=The%20AT4-CS%20will%20continue%20to%20be%20the%20U.S.,Classification%20Date%3A%203rd%20Quarter%20FY04.%20Unit%20cost%3A%20%242%2C700" xr:uid="{00000000-0004-0000-0700-000091000000}"/>
    <hyperlink ref="E272" r:id="rId147" xr:uid="{00000000-0004-0000-0700-000092000000}"/>
    <hyperlink ref="E273" r:id="rId148" xr:uid="{00000000-0004-0000-0700-000093000000}"/>
    <hyperlink ref="E279" r:id="rId149" xr:uid="{00000000-0004-0000-0700-000094000000}"/>
    <hyperlink ref="E280" r:id="rId150" xr:uid="{00000000-0004-0000-0700-000095000000}"/>
    <hyperlink ref="E252" r:id="rId151" xr:uid="{00000000-0004-0000-0700-000096000000}"/>
    <hyperlink ref="E253" r:id="rId152" xr:uid="{00000000-0004-0000-0700-000097000000}"/>
    <hyperlink ref="E291" r:id="rId153" xr:uid="{00000000-0004-0000-0700-000098000000}"/>
    <hyperlink ref="E235" r:id="rId154" xr:uid="{00000000-0004-0000-0700-000099000000}"/>
    <hyperlink ref="E292" r:id="rId155" xr:uid="{00000000-0004-0000-0700-00009A000000}"/>
    <hyperlink ref="E293" r:id="rId156" xr:uid="{00000000-0004-0000-0700-00009B000000}"/>
    <hyperlink ref="E294" r:id="rId157" xr:uid="{00000000-0004-0000-0700-00009C000000}"/>
    <hyperlink ref="E296" r:id="rId158" xr:uid="{00000000-0004-0000-0700-00009D000000}"/>
    <hyperlink ref="E298" r:id="rId159" xr:uid="{00000000-0004-0000-0700-00009E000000}"/>
    <hyperlink ref="E299" r:id="rId160" xr:uid="{00000000-0004-0000-0700-00009F000000}"/>
    <hyperlink ref="E17" r:id="rId161" xr:uid="{00000000-0004-0000-0700-0000A0000000}"/>
    <hyperlink ref="E94" r:id="rId162" xr:uid="{00000000-0004-0000-0700-0000A1000000}"/>
    <hyperlink ref="E97" r:id="rId163" xr:uid="{00000000-0004-0000-0700-0000A2000000}"/>
    <hyperlink ref="E63" r:id="rId164" xr:uid="{00000000-0004-0000-0700-0000A3000000}"/>
    <hyperlink ref="E303" r:id="rId165" xr:uid="{00000000-0004-0000-0700-0000A4000000}"/>
    <hyperlink ref="E304" r:id="rId166" xr:uid="{00000000-0004-0000-0700-0000A5000000}"/>
    <hyperlink ref="E310" r:id="rId167" xr:uid="{00000000-0004-0000-0700-0000A6000000}"/>
    <hyperlink ref="E311" r:id="rId168" xr:uid="{00000000-0004-0000-0700-0000A7000000}"/>
    <hyperlink ref="E295" r:id="rId169" xr:uid="{00000000-0004-0000-0700-0000A8000000}"/>
    <hyperlink ref="E312" r:id="rId170" xr:uid="{00000000-0004-0000-0700-0000A9000000}"/>
    <hyperlink ref="E313" r:id="rId171" display="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xr:uid="{00000000-0004-0000-0700-0000AA000000}"/>
    <hyperlink ref="E314" r:id="rId172" location="cite_note-2" xr:uid="{00000000-0004-0000-0700-0000AB000000}"/>
    <hyperlink ref="E315" r:id="rId173" location="ContractsandKeyEvents" xr:uid="{00000000-0004-0000-0700-0000AC000000}"/>
    <hyperlink ref="E249" r:id="rId174" xr:uid="{00000000-0004-0000-0700-0000AD000000}"/>
    <hyperlink ref="E83" r:id="rId175" xr:uid="{00000000-0004-0000-0700-0000AE000000}"/>
    <hyperlink ref="E4" r:id="rId176" location=":~:text=Regular%20artillery%20shells%20are%20estimated,up%20to%2040%20kilometres%20away" xr:uid="{2BE62787-1941-46F3-9145-95FC7E297C1E}"/>
    <hyperlink ref="E13" r:id="rId177" xr:uid="{BBC8821B-FC43-4C8D-9DD5-39BDA04B13C7}"/>
    <hyperlink ref="E21" r:id="rId178" xr:uid="{5D3C2594-B518-412A-A6B3-68F34CF8DBC6}"/>
    <hyperlink ref="E24" r:id="rId179" xr:uid="{39C85060-0C7B-4A6B-B469-104EF1A05908}"/>
    <hyperlink ref="E28" r:id="rId180" location=":~:text=Regular%20artillery%20shells%20are%20estimated,up%20to%2040%20kilometres%20away" xr:uid="{CE237901-26C2-487D-86C0-0724C675163C}"/>
    <hyperlink ref="E137" r:id="rId181" location=":~:text=WARSAW%2C%20Poland%20%E2%80%94%20The%20Polish%20Ministry,systems%20for%20the%20country%27s%20military" xr:uid="{2ACEC2A7-FC9C-4189-B0C8-7D076FD24880}"/>
    <hyperlink ref="E135" r:id="rId182" xr:uid="{8D1BD995-7F30-48DC-B5A4-7F5BEC4F8C43}"/>
    <hyperlink ref="E141" r:id="rId183" location=":~:text=The%20cost%20of%20one%20RQ,NATO%20countries%20and%20their%20partners" xr:uid="{2D491822-0CA3-4493-AF7C-8F1D0A95C550}"/>
    <hyperlink ref="E146" r:id="rId184" xr:uid="{AF13652D-D1D2-49F5-BD30-23EE4D90EAC7}"/>
    <hyperlink ref="E165" r:id="rId185" xr:uid="{7DEC3AED-C844-44F4-BB77-BFA9FA95E272}"/>
    <hyperlink ref="E171" r:id="rId186" xr:uid="{725E7E64-55F2-4579-BE0A-1C969EFC92ED}"/>
    <hyperlink ref="E322" r:id="rId187" xr:uid="{A1576D31-62C8-4E92-9F9E-D8A66979A47D}"/>
    <hyperlink ref="E320" r:id="rId188" location=":~:text=The%20Mamba%204%C3%974,had%20developed%20at%20the%20time" xr:uid="{3BA11C78-D163-4234-89E6-CAD89F39B0C3}"/>
    <hyperlink ref="E281" r:id="rId189" xr:uid="{FFEDECDC-D3EF-4E68-B98E-77B65E184DDF}"/>
    <hyperlink ref="E278" r:id="rId190" xr:uid="{0663C031-46D6-4774-A0A2-E0BBBF283E95}"/>
    <hyperlink ref="E123" r:id="rId191" xr:uid="{21645186-10C4-4CF5-BD90-7309396F288A}"/>
    <hyperlink ref="E124" r:id="rId192" xr:uid="{3ADA0388-C5A9-40A4-AA02-E4B8FDC1E33B}"/>
    <hyperlink ref="E131" r:id="rId193" xr:uid="{112453A8-20CA-44E3-BFDD-158D81B7861A}"/>
    <hyperlink ref="E127" r:id="rId194" location=":~:text=Poly%20gloves&amp;text=On%20average%2C%20the%20cost%20of%20a%20bundle%20of%20polythene%20disposable,ranges%20from%20%249%20to%20%2420" xr:uid="{5F9A566F-0DC2-47AC-8934-842E66A224E9}"/>
    <hyperlink ref="E309" r:id="rId195" xr:uid="{DCB0CC31-8550-4040-9783-DE913DF956AF}"/>
    <hyperlink ref="E300" r:id="rId196" xr:uid="{E62E257C-05F9-441B-9BCA-7C481A258EAA}"/>
    <hyperlink ref="E290" r:id="rId197" location="v=onepage&amp;q=66mm%20rocket%20cost&amp;f=false" xr:uid="{086F6C02-94BB-4037-8B08-70C0712DD3CE}"/>
    <hyperlink ref="E302" r:id="rId198" xr:uid="{C6BBCCA4-0BDD-4D8B-A150-0EF0C54B7EF4}"/>
    <hyperlink ref="E297" r:id="rId199" display="https://en.wikipedia.org/wiki/AGM-114_Hellfire" xr:uid="{51E32882-FA99-4DE5-92B9-A0DFE03F4B3C}"/>
    <hyperlink ref="E287" r:id="rId200" xr:uid="{9B87CF4F-45C3-47A1-9B37-B52A86CE1253}"/>
    <hyperlink ref="E286" r:id="rId201" xr:uid="{45A6CEC6-6ADD-438B-A5D8-8C96E7257424}"/>
    <hyperlink ref="E285" r:id="rId202" xr:uid="{88BB9971-1665-42C0-B3C4-6C51027C478F}"/>
    <hyperlink ref="E284" r:id="rId203" xr:uid="{68B0B1CD-1BF9-4600-BAE8-069FA085673E}"/>
    <hyperlink ref="E282" r:id="rId204" location=":~:text=WASHINGTON%2C%20February%208%2C%202022%20%2D,estimated%20cost%20of%20%2470%20million" xr:uid="{2C70B128-FAEC-44BC-AC74-89697578161A}"/>
    <hyperlink ref="E277" r:id="rId205" location=":~:text=Single%2DWide%20or%20Single%2DSection%20Home,-As%20the%20smaller&amp;text=The%20Census%20Bureau%20reports%20that,was%20%2476%2C400%20in%20November%202021" xr:uid="{320E00E2-529E-4040-B1BC-E373FB14D64E}"/>
    <hyperlink ref="E275" r:id="rId206" xr:uid="{DACA8134-6342-4178-BF5D-222E2C296DBB}"/>
    <hyperlink ref="E267" r:id="rId207" location=":~:text=The%20cost%20of%20rangefinders%20varies,conditions%2C%20size%2C%20and%20weight" xr:uid="{2EBB1057-5263-4D97-B754-2CD70DD5C349}"/>
    <hyperlink ref="E259" r:id="rId208" xr:uid="{FEF154ED-3B1D-4FCC-A981-E771E8B3E0D6}"/>
    <hyperlink ref="E260" r:id="rId209" xr:uid="{9D12B5B4-8572-4684-9DCF-77A8E8B52D31}"/>
    <hyperlink ref="E14" r:id="rId210" xr:uid="{479AF313-18E7-4F45-9CB2-9F538C1122A1}"/>
    <hyperlink ref="E38" r:id="rId211" xr:uid="{30692065-4EA9-4293-BB45-915E52F6ED8C}"/>
    <hyperlink ref="E54" r:id="rId212" xr:uid="{3FD3B0E9-95C3-4CFE-8B09-F796D8CFE299}"/>
    <hyperlink ref="E55" r:id="rId213" xr:uid="{D4FACAB9-EA3F-4482-A1AA-8A151B33D51C}"/>
    <hyperlink ref="E34" r:id="rId214" xr:uid="{1387AA9A-DD53-4D47-B27F-5CEA868C2BAF}"/>
    <hyperlink ref="E41" r:id="rId215" location=":~:text=How%20much%20does%20a%20monitor,price%20is%20around%20%24200%20%2D%20%24300" xr:uid="{CAC9D1A4-C3C5-4945-8AC7-F4439D54C9CE}"/>
    <hyperlink ref="E57" r:id="rId216" xr:uid="{6FBC9517-0147-4FBC-9955-0B68B66AC756}"/>
    <hyperlink ref="F57" r:id="rId217" display="https://en.wikipedia.org/wiki/Meal,_Ready-to-Eat" xr:uid="{9912183F-BF30-495A-B90D-856863C6E2EB}"/>
    <hyperlink ref="E59" r:id="rId218" xr:uid="{789B394A-5C40-4764-B869-E778F467636F}"/>
    <hyperlink ref="E67" r:id="rId219" xr:uid="{B19F04C8-DBB1-44EF-86CC-0631CAAF36B4}"/>
    <hyperlink ref="E86" r:id="rId220" xr:uid="{FDA43228-0927-4683-9B66-D2736E9D2C46}"/>
    <hyperlink ref="E100" r:id="rId221" xr:uid="{AC68CFCF-8C53-4861-92A5-68A2FC52310C}"/>
    <hyperlink ref="E103" r:id="rId222" xr:uid="{87C7A4A2-FFAB-43AA-ACB6-92D0AA283E76}"/>
    <hyperlink ref="E108" r:id="rId223" xr:uid="{E7AD2005-0063-481F-B467-2F2197969C76}"/>
    <hyperlink ref="E261" r:id="rId224" location=":~:text=For%20a%20buyer%2C%20this%20firepower,%246000%20and%20%2440%2C000%20to%20buy.&amp;text=11%2D12%20months%20of%20waiting,paperwork%20and%20full%20background%20check" xr:uid="{0CD85379-034D-4400-A90A-91AC3EADE360}"/>
    <hyperlink ref="E74" r:id="rId225" xr:uid="{56147BB0-7BF0-4F4A-92DB-4819C1566351}"/>
    <hyperlink ref="E75" r:id="rId226" xr:uid="{027D59F5-8FB1-42B8-B328-ABBD11322902}"/>
    <hyperlink ref="E76" r:id="rId227" xr:uid="{84635595-201C-45C9-8B80-487F603628ED}"/>
    <hyperlink ref="E126" r:id="rId228" xr:uid="{951A0E92-8EA7-409F-88FB-896721381FA0}"/>
    <hyperlink ref="E129" r:id="rId229" xr:uid="{94BC9C80-1835-47E1-BC72-905317AEB0BA}"/>
    <hyperlink ref="E130" r:id="rId230" xr:uid="{42638060-1F87-4983-9645-87D658B599AD}"/>
    <hyperlink ref="E150" r:id="rId231" xr:uid="{4487DB0C-F7E6-413F-8A5B-8895EF142FDA}"/>
    <hyperlink ref="E166" r:id="rId232" xr:uid="{810B8423-E705-4201-B45F-B40B949E7F06}"/>
    <hyperlink ref="E178" r:id="rId233" xr:uid="{2EE21B37-9A93-4CDA-9919-C85311F52649}"/>
    <hyperlink ref="E189" r:id="rId234" xr:uid="{0A94DEC4-253B-42C9-8CBD-68C98EB25DAA}"/>
    <hyperlink ref="E212" r:id="rId235" location=":~:text=The%20average%20selling%20price%20of,U.S.%20dollars%20in%20constant%20currency" xr:uid="{0659B63B-075D-4BDC-9D1C-8C7E2551955A}"/>
    <hyperlink ref="E213" r:id="rId236" location=":~:text=The%20Average%20Cost%20of%20a%20Laptop,-Let%27s%20leave%20the&amp;text=For%20example%2C%20on%20average%2C%20the,Ultrabooks%20that%20satisfy%20your%20needs" xr:uid="{F766680A-A0D9-4E3C-8CDF-349424A01406}"/>
    <hyperlink ref="E228" r:id="rId237" location=":~:text=According%20to%20Forecast%20International%2C%20the,in%202002%20was%20US%24594%2C000" xr:uid="{36E69C3A-E704-4237-9B41-A835978B06E5}"/>
    <hyperlink ref="E346" r:id="rId238" xr:uid="{AFB14B19-592B-4E4C-B25E-850B528A611E}"/>
    <hyperlink ref="E347" r:id="rId239" xr:uid="{564C93BC-2D7E-4DCB-9331-A69284DDB276}"/>
    <hyperlink ref="E349" r:id="rId240" xr:uid="{E21997F1-6AF2-4C12-AD1D-BB8E3FC3D953}"/>
    <hyperlink ref="E353" r:id="rId241" xr:uid="{279CEAF4-5387-4A4A-AD1B-5EF5D6818455}"/>
    <hyperlink ref="E354" r:id="rId242" xr:uid="{8F17AEB6-6073-4574-BE02-6CC0B3AAB786}"/>
    <hyperlink ref="E355" r:id="rId243" xr:uid="{99C4AFD2-1B19-43EF-B207-70F4EE444090}"/>
    <hyperlink ref="E356" r:id="rId244" xr:uid="{2F3A3131-5FA5-459E-9CC8-C863BF474590}"/>
    <hyperlink ref="E357" r:id="rId245" xr:uid="{EC0CEC52-CDF0-4FC5-8E16-F823ADDDD8D5}"/>
    <hyperlink ref="E358" r:id="rId246" xr:uid="{01F7ABC1-38BA-4969-9BAE-8E5FD1BB6D33}"/>
    <hyperlink ref="E359" r:id="rId247" xr:uid="{61CB1BFE-67EB-4B46-A8F7-73739633AF93}"/>
    <hyperlink ref="E360" r:id="rId248" xr:uid="{AE74EDB1-59D7-44BC-8A3F-313ACCE103F7}"/>
    <hyperlink ref="E363" r:id="rId249" xr:uid="{418A52E4-4AF7-424C-93B8-743D167049A9}"/>
    <hyperlink ref="E366" r:id="rId250" xr:uid="{0E88CCE3-DEDB-40EC-A7BD-9E4337A5DC92}"/>
    <hyperlink ref="E367" r:id="rId251" xr:uid="{9921D187-858F-4000-8176-460E1C4489A4}"/>
    <hyperlink ref="E368" r:id="rId252" xr:uid="{1338713A-6E79-4274-B93C-5877A7CE14AC}"/>
    <hyperlink ref="E369" r:id="rId253" xr:uid="{62491DBE-3E7A-4F56-9989-BF3BC5E661F6}"/>
    <hyperlink ref="E370" r:id="rId254" location=":~:text=Bewaffnete%20Drohnen%20f%C3%BCr%20Bundeswehr%3A%20Heron,Munition%20%22Special%20Payload%22%20zu." xr:uid="{A9429B03-BF4A-4C05-98D0-7D3014FFF3A4}"/>
    <hyperlink ref="E372" r:id="rId255" display="https://www.praxisdienst.de/Einrichtung/Ablegen+und+lagern/Medikamentenkuehlschraenke/Liebherr+MKUv+1610+Medikamentenkuehlschrank+mit+Fachboeden.html?speed=1&amp;gclid=Cj0KCQjwntCVBhDdARIsAMEwACmOKJaqbtWlmkE3PwceLhHIP9m3qGdulBKn1kImSy42c3gxKcXCRD4aAhIXEALw_wcB" xr:uid="{837F59B1-8D74-48B2-8BA2-82A2017871F1}"/>
    <hyperlink ref="E374" r:id="rId256" xr:uid="{F02E849B-0181-4FBA-BDEC-34ECC1561C86}"/>
    <hyperlink ref="E375" r:id="rId257" xr:uid="{F48C095A-F70E-4C98-BC9A-9BF0132093B1}"/>
    <hyperlink ref="E379" r:id="rId258" display="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 xr:uid="{41036D2A-80FD-4EFE-8E28-BEE69E65C6F9}"/>
    <hyperlink ref="E380" r:id="rId259" xr:uid="{857E418C-EBEF-4E15-97DF-EBE76CD1BCCA}"/>
    <hyperlink ref="E381" r:id="rId260" xr:uid="{F615979F-DE3D-4243-9AFD-760F7B5FC6E4}"/>
    <hyperlink ref="E382" r:id="rId261" xr:uid="{C4527A9A-3F7A-444B-9648-7C587ECB5F14}"/>
    <hyperlink ref="E383" r:id="rId262" xr:uid="{D3A17A22-58EC-4353-891E-B57A42AB0814}"/>
    <hyperlink ref="E384" r:id="rId263" xr:uid="{C93EC9CB-5A9F-406C-AEEC-B5B0321E8FA9}"/>
    <hyperlink ref="E338" r:id="rId264" xr:uid="{EABAA360-F9CA-4D60-B9A4-EE4D214F0CB2}"/>
    <hyperlink ref="E340" r:id="rId265" location=":~:text=A%20Patrol%20Coastal%20boat%20has,cost%20around%20%2415%20million%20each" xr:uid="{0DC64E5A-9E6C-4F8F-B940-93EAFB7675FD}"/>
    <hyperlink ref="E339" r:id="rId266" location=":~:text=A%20Patrol%20Coastal%20boat%20has,cost%20around%20%2415%20million%20each" xr:uid="{596A8188-1BA5-4197-AB38-CADD41C09407}"/>
    <hyperlink ref="E387" r:id="rId267" xr:uid="{DFA72D6F-96E9-4C4F-A7C1-9696850C2E7C}"/>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Ivan Kharitonov</cp:lastModifiedBy>
  <cp:revision/>
  <dcterms:created xsi:type="dcterms:W3CDTF">2022-03-23T09:04:55Z</dcterms:created>
  <dcterms:modified xsi:type="dcterms:W3CDTF">2022-07-05T15:05:08Z</dcterms:modified>
  <cp:category/>
  <cp:contentStatus/>
</cp:coreProperties>
</file>